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800" yWindow="-15" windowWidth="10845" windowHeight="10170" tabRatio="795"/>
  </bookViews>
  <sheets>
    <sheet name="Input Information" sheetId="2" r:id="rId1"/>
    <sheet name="Total Results" sheetId="5" r:id="rId2"/>
    <sheet name="A-Capital" sheetId="6" r:id="rId3"/>
    <sheet name="B-Overhead" sheetId="9" r:id="rId4"/>
    <sheet name="C-Operational" sheetId="10" r:id="rId5"/>
    <sheet name="Neutron Utilisation-C" sheetId="13" r:id="rId6"/>
    <sheet name="D-Decommissioning" sheetId="7" r:id="rId7"/>
    <sheet name="E-99Mo Specific" sheetId="12" r:id="rId8"/>
  </sheets>
  <calcPr calcId="125725"/>
</workbook>
</file>

<file path=xl/calcChain.xml><?xml version="1.0" encoding="utf-8"?>
<calcChain xmlns="http://schemas.openxmlformats.org/spreadsheetml/2006/main">
  <c r="G37" i="2"/>
  <c r="A2"/>
  <c r="I57"/>
  <c r="G57" l="1"/>
  <c r="G44"/>
  <c r="E16" i="5"/>
  <c r="B46" i="12"/>
  <c r="B27" i="7"/>
  <c r="E8" s="1"/>
  <c r="B38" i="10"/>
  <c r="B33" i="9"/>
  <c r="D30" s="1"/>
  <c r="B63" i="6"/>
  <c r="E60" s="1"/>
  <c r="B28" i="5"/>
  <c r="D25" s="1"/>
  <c r="E8" i="10" l="1"/>
  <c r="E24"/>
  <c r="E33" i="12"/>
  <c r="E8"/>
  <c r="D35" i="10"/>
  <c r="E43" i="12"/>
  <c r="E8" i="9"/>
  <c r="E24" i="7"/>
  <c r="B21" i="5"/>
  <c r="E35" i="13"/>
  <c r="E34"/>
  <c r="E33"/>
  <c r="E32"/>
  <c r="E31"/>
  <c r="E30"/>
  <c r="E29"/>
  <c r="E28"/>
  <c r="D35"/>
  <c r="D34"/>
  <c r="D30"/>
  <c r="D31"/>
  <c r="D32"/>
  <c r="D33"/>
  <c r="D29"/>
  <c r="D28"/>
  <c r="C35"/>
  <c r="C34"/>
  <c r="C33"/>
  <c r="C32"/>
  <c r="C31"/>
  <c r="C30"/>
  <c r="C29"/>
  <c r="C28"/>
  <c r="B35"/>
  <c r="B34"/>
  <c r="B33"/>
  <c r="B32"/>
  <c r="B31"/>
  <c r="B30"/>
  <c r="B29"/>
  <c r="B28"/>
  <c r="F28" s="1"/>
  <c r="G28" s="1"/>
  <c r="C20" i="7"/>
  <c r="C9" i="12"/>
  <c r="C10"/>
  <c r="C11"/>
  <c r="C12"/>
  <c r="C13"/>
  <c r="C14"/>
  <c r="G67" i="2"/>
  <c r="C8" i="12" s="1"/>
  <c r="C8" i="9"/>
  <c r="C10" i="10"/>
  <c r="C11"/>
  <c r="C12"/>
  <c r="C13"/>
  <c r="C14"/>
  <c r="C15"/>
  <c r="C9"/>
  <c r="C30" i="12"/>
  <c r="C28"/>
  <c r="E15" i="5"/>
  <c r="E14"/>
  <c r="C22" i="6"/>
  <c r="C51" s="1"/>
  <c r="C19"/>
  <c r="C42" s="1"/>
  <c r="C16"/>
  <c r="C33" s="1"/>
  <c r="C18"/>
  <c r="C21"/>
  <c r="C15"/>
  <c r="G26" i="2"/>
  <c r="C17" i="6" s="1"/>
  <c r="G30" i="2"/>
  <c r="C20" i="6" s="1"/>
  <c r="G21" i="2"/>
  <c r="C8" i="6"/>
  <c r="E10" i="5"/>
  <c r="C16" i="12"/>
  <c r="C17" i="10"/>
  <c r="C12" i="9"/>
  <c r="C10" i="7"/>
  <c r="C10" i="6"/>
  <c r="E12" i="5"/>
  <c r="E11"/>
  <c r="C15" i="12"/>
  <c r="C16" i="10"/>
  <c r="C11" i="9"/>
  <c r="C9" i="7"/>
  <c r="C9" i="6"/>
  <c r="E36" i="13"/>
  <c r="D36"/>
  <c r="F35"/>
  <c r="G35" s="1"/>
  <c r="F34"/>
  <c r="G34" s="1"/>
  <c r="F33"/>
  <c r="G33" s="1"/>
  <c r="F31"/>
  <c r="G31" s="1"/>
  <c r="F30"/>
  <c r="G30" s="1"/>
  <c r="F29"/>
  <c r="G29" s="1"/>
  <c r="C20"/>
  <c r="D20"/>
  <c r="E20"/>
  <c r="B20"/>
  <c r="F13"/>
  <c r="G13" s="1"/>
  <c r="F14"/>
  <c r="G14" s="1"/>
  <c r="F15"/>
  <c r="G15" s="1"/>
  <c r="F16"/>
  <c r="G16" s="1"/>
  <c r="F17"/>
  <c r="G17" s="1"/>
  <c r="F18"/>
  <c r="G18" s="1"/>
  <c r="F19"/>
  <c r="G19" s="1"/>
  <c r="F12"/>
  <c r="G12" s="1"/>
  <c r="C35" i="12"/>
  <c r="C24" i="10"/>
  <c r="C8"/>
  <c r="C26" i="12"/>
  <c r="C33"/>
  <c r="C37"/>
  <c r="C23"/>
  <c r="C18"/>
  <c r="C17"/>
  <c r="C47"/>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B47"/>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C8" i="7"/>
  <c r="C39" i="10"/>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B39"/>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C19"/>
  <c r="C18"/>
  <c r="C22" i="9"/>
  <c r="C10"/>
  <c r="C9"/>
  <c r="C34"/>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B34"/>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C14"/>
  <c r="C13"/>
  <c r="C12" i="7"/>
  <c r="C11"/>
  <c r="C21" s="1"/>
  <c r="C12" i="6"/>
  <c r="C11"/>
  <c r="F82" i="2"/>
  <c r="C19" i="12" s="1"/>
  <c r="B64" i="6"/>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C28" i="7"/>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B28"/>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C64" i="6"/>
  <c r="C65" s="1"/>
  <c r="C66" s="1"/>
  <c r="C67" s="1"/>
  <c r="C68" s="1"/>
  <c r="C69" s="1"/>
  <c r="C70" s="1"/>
  <c r="C71" s="1"/>
  <c r="C72" s="1"/>
  <c r="C73" s="1"/>
  <c r="C74" s="1"/>
  <c r="C75" s="1"/>
  <c r="C76" s="1"/>
  <c r="C77" s="1"/>
  <c r="C78" s="1"/>
  <c r="C79" s="1"/>
  <c r="C80" s="1"/>
  <c r="C81" s="1"/>
  <c r="C82" s="1"/>
  <c r="C83" s="1"/>
  <c r="C84" s="1"/>
  <c r="C85" s="1"/>
  <c r="C86" s="1"/>
  <c r="C87" s="1"/>
  <c r="C88" s="1"/>
  <c r="C89" s="1"/>
  <c r="C90" s="1"/>
  <c r="C91" s="1"/>
  <c r="C92" s="1"/>
  <c r="C93" s="1"/>
  <c r="C94" s="1"/>
  <c r="C95" s="1"/>
  <c r="C96" s="1"/>
  <c r="C97" s="1"/>
  <c r="C98" s="1"/>
  <c r="C99" s="1"/>
  <c r="C100" s="1"/>
  <c r="C101" s="1"/>
  <c r="C102" s="1"/>
  <c r="C103" s="1"/>
  <c r="C38"/>
  <c r="C47" s="1"/>
  <c r="C56" s="1"/>
  <c r="C29" i="5"/>
  <c r="C30" s="1"/>
  <c r="B29"/>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C36" i="13" l="1"/>
  <c r="B36"/>
  <c r="F32"/>
  <c r="G32" s="1"/>
  <c r="F20"/>
  <c r="G20" s="1"/>
  <c r="C52" i="6"/>
  <c r="F31" i="5"/>
  <c r="C43" i="6"/>
  <c r="C34"/>
  <c r="C57"/>
  <c r="C31" i="12" s="1"/>
  <c r="C48" i="6"/>
  <c r="C39"/>
  <c r="C39" i="12"/>
  <c r="F68" i="5"/>
  <c r="F66"/>
  <c r="F64"/>
  <c r="F62"/>
  <c r="F60"/>
  <c r="F58"/>
  <c r="F56"/>
  <c r="F54"/>
  <c r="F52"/>
  <c r="F50"/>
  <c r="F48"/>
  <c r="F46"/>
  <c r="F44"/>
  <c r="F42"/>
  <c r="F40"/>
  <c r="F38"/>
  <c r="F36"/>
  <c r="F34"/>
  <c r="F32"/>
  <c r="F30"/>
  <c r="C30" i="6"/>
  <c r="F29" i="5"/>
  <c r="F67"/>
  <c r="F65"/>
  <c r="F63"/>
  <c r="F61"/>
  <c r="F59"/>
  <c r="F57"/>
  <c r="F55"/>
  <c r="F53"/>
  <c r="F51"/>
  <c r="F49"/>
  <c r="F47"/>
  <c r="F45"/>
  <c r="F43"/>
  <c r="F41"/>
  <c r="F39"/>
  <c r="F37"/>
  <c r="F35"/>
  <c r="F33"/>
  <c r="C53" i="6"/>
  <c r="C44"/>
  <c r="C27" i="10"/>
  <c r="C29" i="12"/>
  <c r="C27"/>
  <c r="C13" i="7"/>
  <c r="C14" s="1"/>
  <c r="C15" i="9"/>
  <c r="C20" i="10"/>
  <c r="E13" i="5"/>
  <c r="C13" i="6"/>
  <c r="C24" i="12"/>
  <c r="C38"/>
  <c r="C31" i="5"/>
  <c r="C31" i="10" l="1"/>
  <c r="G101" i="6"/>
  <c r="D101" s="1"/>
  <c r="G78"/>
  <c r="F36" i="13"/>
  <c r="G36" s="1"/>
  <c r="D37" s="1"/>
  <c r="G70" i="6"/>
  <c r="D70" s="1"/>
  <c r="G74"/>
  <c r="G82"/>
  <c r="G86"/>
  <c r="D86" s="1"/>
  <c r="G90"/>
  <c r="D90" s="1"/>
  <c r="G94"/>
  <c r="D94" s="1"/>
  <c r="G98"/>
  <c r="D98" s="1"/>
  <c r="G102"/>
  <c r="D102" s="1"/>
  <c r="G67"/>
  <c r="D67" s="1"/>
  <c r="E67" s="1"/>
  <c r="F67" s="1"/>
  <c r="G71"/>
  <c r="D71" s="1"/>
  <c r="E71" s="1"/>
  <c r="F71" s="1"/>
  <c r="G75"/>
  <c r="G79"/>
  <c r="G83"/>
  <c r="G87"/>
  <c r="D87" s="1"/>
  <c r="G91"/>
  <c r="D91" s="1"/>
  <c r="G95"/>
  <c r="D95" s="1"/>
  <c r="G99"/>
  <c r="D99" s="1"/>
  <c r="G103"/>
  <c r="D103" s="1"/>
  <c r="G66"/>
  <c r="D66" s="1"/>
  <c r="E66" s="1"/>
  <c r="F66" s="1"/>
  <c r="G68"/>
  <c r="D68" s="1"/>
  <c r="E68" s="1"/>
  <c r="F68" s="1"/>
  <c r="G72"/>
  <c r="D72" s="1"/>
  <c r="E72" s="1"/>
  <c r="G76"/>
  <c r="G80"/>
  <c r="G84"/>
  <c r="D84" s="1"/>
  <c r="G88"/>
  <c r="D88" s="1"/>
  <c r="G92"/>
  <c r="D92" s="1"/>
  <c r="G96"/>
  <c r="D96" s="1"/>
  <c r="G100"/>
  <c r="D100" s="1"/>
  <c r="G64"/>
  <c r="D64" s="1"/>
  <c r="E64" s="1"/>
  <c r="F64" s="1"/>
  <c r="G65"/>
  <c r="D65" s="1"/>
  <c r="E65" s="1"/>
  <c r="F65" s="1"/>
  <c r="G69"/>
  <c r="D69" s="1"/>
  <c r="E69" s="1"/>
  <c r="F69" s="1"/>
  <c r="G73"/>
  <c r="D73" s="1"/>
  <c r="G77"/>
  <c r="G81"/>
  <c r="G85"/>
  <c r="D85" s="1"/>
  <c r="G89"/>
  <c r="D89" s="1"/>
  <c r="G93"/>
  <c r="D93" s="1"/>
  <c r="G97"/>
  <c r="D97" s="1"/>
  <c r="D28" i="7"/>
  <c r="E28" s="1"/>
  <c r="F28" s="1"/>
  <c r="D42"/>
  <c r="E42" s="1"/>
  <c r="D58"/>
  <c r="E58" s="1"/>
  <c r="D33"/>
  <c r="E33" s="1"/>
  <c r="D49"/>
  <c r="E49" s="1"/>
  <c r="F49" s="1"/>
  <c r="D61"/>
  <c r="E61" s="1"/>
  <c r="F61" s="1"/>
  <c r="D34"/>
  <c r="E34" s="1"/>
  <c r="F34" s="1"/>
  <c r="D50"/>
  <c r="E50" s="1"/>
  <c r="D66"/>
  <c r="E66" s="1"/>
  <c r="D41"/>
  <c r="E41" s="1"/>
  <c r="D57"/>
  <c r="E57" s="1"/>
  <c r="F57" s="1"/>
  <c r="D65"/>
  <c r="E65" s="1"/>
  <c r="D32"/>
  <c r="E32" s="1"/>
  <c r="F32" s="1"/>
  <c r="D53"/>
  <c r="E53" s="1"/>
  <c r="D45"/>
  <c r="E45" s="1"/>
  <c r="F45" s="1"/>
  <c r="D37"/>
  <c r="E37" s="1"/>
  <c r="F37" s="1"/>
  <c r="D29"/>
  <c r="E29" s="1"/>
  <c r="F29" s="1"/>
  <c r="D62"/>
  <c r="E62" s="1"/>
  <c r="D54"/>
  <c r="E54" s="1"/>
  <c r="F54" s="1"/>
  <c r="D46"/>
  <c r="E46" s="1"/>
  <c r="F46" s="1"/>
  <c r="D38"/>
  <c r="E38" s="1"/>
  <c r="F38" s="1"/>
  <c r="D30"/>
  <c r="E30" s="1"/>
  <c r="C26" i="9"/>
  <c r="E70" i="6"/>
  <c r="F70" s="1"/>
  <c r="E73"/>
  <c r="F73" s="1"/>
  <c r="F26" i="5"/>
  <c r="D67" i="7"/>
  <c r="E67" s="1"/>
  <c r="F67" s="1"/>
  <c r="D63"/>
  <c r="E63" s="1"/>
  <c r="F63" s="1"/>
  <c r="D59"/>
  <c r="E59" s="1"/>
  <c r="F59" s="1"/>
  <c r="D55"/>
  <c r="E55" s="1"/>
  <c r="F55" s="1"/>
  <c r="D51"/>
  <c r="E51" s="1"/>
  <c r="F51" s="1"/>
  <c r="D47"/>
  <c r="E47" s="1"/>
  <c r="F47" s="1"/>
  <c r="D43"/>
  <c r="E43" s="1"/>
  <c r="F43" s="1"/>
  <c r="D39"/>
  <c r="E39" s="1"/>
  <c r="F39" s="1"/>
  <c r="D35"/>
  <c r="E35" s="1"/>
  <c r="F35" s="1"/>
  <c r="D31"/>
  <c r="E31" s="1"/>
  <c r="F31" s="1"/>
  <c r="D64"/>
  <c r="E64" s="1"/>
  <c r="F64" s="1"/>
  <c r="D60"/>
  <c r="E60" s="1"/>
  <c r="F60" s="1"/>
  <c r="D56"/>
  <c r="E56" s="1"/>
  <c r="F56" s="1"/>
  <c r="D52"/>
  <c r="E52" s="1"/>
  <c r="F52" s="1"/>
  <c r="D48"/>
  <c r="E48" s="1"/>
  <c r="F48" s="1"/>
  <c r="D44"/>
  <c r="E44" s="1"/>
  <c r="F44" s="1"/>
  <c r="D40"/>
  <c r="E40" s="1"/>
  <c r="F40" s="1"/>
  <c r="D36"/>
  <c r="E36" s="1"/>
  <c r="F36" s="1"/>
  <c r="D49" i="12"/>
  <c r="E49" s="1"/>
  <c r="F49" s="1"/>
  <c r="D51"/>
  <c r="E51" s="1"/>
  <c r="F51" s="1"/>
  <c r="D53"/>
  <c r="E53" s="1"/>
  <c r="F53" s="1"/>
  <c r="D55"/>
  <c r="D57"/>
  <c r="E57" s="1"/>
  <c r="F57" s="1"/>
  <c r="D59"/>
  <c r="D61"/>
  <c r="E61" s="1"/>
  <c r="F61" s="1"/>
  <c r="D63"/>
  <c r="D65"/>
  <c r="E65" s="1"/>
  <c r="F65" s="1"/>
  <c r="D67"/>
  <c r="E67" s="1"/>
  <c r="F67" s="1"/>
  <c r="D69"/>
  <c r="E69" s="1"/>
  <c r="F69" s="1"/>
  <c r="D71"/>
  <c r="D73"/>
  <c r="E73" s="1"/>
  <c r="F73" s="1"/>
  <c r="D75"/>
  <c r="E75" s="1"/>
  <c r="F75" s="1"/>
  <c r="D77"/>
  <c r="E77" s="1"/>
  <c r="F77" s="1"/>
  <c r="D79"/>
  <c r="D81"/>
  <c r="E81" s="1"/>
  <c r="F81" s="1"/>
  <c r="D83"/>
  <c r="D85"/>
  <c r="E85" s="1"/>
  <c r="F85" s="1"/>
  <c r="D47"/>
  <c r="D48"/>
  <c r="E48" s="1"/>
  <c r="F48" s="1"/>
  <c r="D50"/>
  <c r="D52"/>
  <c r="E52" s="1"/>
  <c r="F52" s="1"/>
  <c r="D54"/>
  <c r="D56"/>
  <c r="E56" s="1"/>
  <c r="F56" s="1"/>
  <c r="D58"/>
  <c r="E58" s="1"/>
  <c r="F58" s="1"/>
  <c r="D60"/>
  <c r="E60" s="1"/>
  <c r="F60" s="1"/>
  <c r="D62"/>
  <c r="D64"/>
  <c r="E64" s="1"/>
  <c r="F64" s="1"/>
  <c r="D66"/>
  <c r="D68"/>
  <c r="E68" s="1"/>
  <c r="F68" s="1"/>
  <c r="D70"/>
  <c r="D72"/>
  <c r="E72" s="1"/>
  <c r="F72" s="1"/>
  <c r="D74"/>
  <c r="E74" s="1"/>
  <c r="F74" s="1"/>
  <c r="D76"/>
  <c r="E76" s="1"/>
  <c r="F76" s="1"/>
  <c r="D78"/>
  <c r="D80"/>
  <c r="E80" s="1"/>
  <c r="F80" s="1"/>
  <c r="D82"/>
  <c r="D84"/>
  <c r="E84" s="1"/>
  <c r="F84" s="1"/>
  <c r="D86"/>
  <c r="E94" i="6"/>
  <c r="E59" i="12"/>
  <c r="F59" s="1"/>
  <c r="E63"/>
  <c r="F63" s="1"/>
  <c r="E79"/>
  <c r="F79" s="1"/>
  <c r="E83"/>
  <c r="F83" s="1"/>
  <c r="E47"/>
  <c r="F47" s="1"/>
  <c r="F65" i="7"/>
  <c r="F53"/>
  <c r="F41"/>
  <c r="F33"/>
  <c r="F66"/>
  <c r="F62"/>
  <c r="F58"/>
  <c r="F50"/>
  <c r="F42"/>
  <c r="F30"/>
  <c r="G31" i="5"/>
  <c r="G29"/>
  <c r="G30"/>
  <c r="F72" i="6"/>
  <c r="E50" i="12"/>
  <c r="F50" s="1"/>
  <c r="E54"/>
  <c r="F54" s="1"/>
  <c r="E62"/>
  <c r="F62" s="1"/>
  <c r="E66"/>
  <c r="F66" s="1"/>
  <c r="E70"/>
  <c r="F70" s="1"/>
  <c r="E78"/>
  <c r="F78" s="1"/>
  <c r="E82"/>
  <c r="F82" s="1"/>
  <c r="E86"/>
  <c r="F86" s="1"/>
  <c r="E55"/>
  <c r="F55" s="1"/>
  <c r="E71"/>
  <c r="F71" s="1"/>
  <c r="C32" i="5"/>
  <c r="G32" s="1"/>
  <c r="C37" i="13" l="1"/>
  <c r="B37"/>
  <c r="C30" i="10"/>
  <c r="G37" i="13"/>
  <c r="F25" i="7"/>
  <c r="F44" i="12"/>
  <c r="C33" i="5"/>
  <c r="G33" s="1"/>
  <c r="C32" i="10" l="1"/>
  <c r="D49" s="1"/>
  <c r="E49" s="1"/>
  <c r="C27" i="9"/>
  <c r="D48" i="10"/>
  <c r="E48" s="1"/>
  <c r="D41"/>
  <c r="E41" s="1"/>
  <c r="D44"/>
  <c r="E44" s="1"/>
  <c r="D60"/>
  <c r="E60" s="1"/>
  <c r="D76"/>
  <c r="E76" s="1"/>
  <c r="D53"/>
  <c r="E53" s="1"/>
  <c r="D69"/>
  <c r="E69" s="1"/>
  <c r="D46"/>
  <c r="E46" s="1"/>
  <c r="D54"/>
  <c r="E54" s="1"/>
  <c r="D62"/>
  <c r="E62" s="1"/>
  <c r="D70"/>
  <c r="E70" s="1"/>
  <c r="D78"/>
  <c r="E78" s="1"/>
  <c r="D47"/>
  <c r="E47" s="1"/>
  <c r="D55"/>
  <c r="E55" s="1"/>
  <c r="D63"/>
  <c r="E63" s="1"/>
  <c r="D71"/>
  <c r="E71" s="1"/>
  <c r="D39"/>
  <c r="D56"/>
  <c r="E56" s="1"/>
  <c r="D64"/>
  <c r="E64" s="1"/>
  <c r="D57"/>
  <c r="E57" s="1"/>
  <c r="D65"/>
  <c r="E65" s="1"/>
  <c r="D52"/>
  <c r="E52" s="1"/>
  <c r="D68"/>
  <c r="E68" s="1"/>
  <c r="D45"/>
  <c r="E45" s="1"/>
  <c r="D61"/>
  <c r="E61" s="1"/>
  <c r="D77"/>
  <c r="E77" s="1"/>
  <c r="D42"/>
  <c r="E42" s="1"/>
  <c r="D50"/>
  <c r="E50" s="1"/>
  <c r="D58"/>
  <c r="E58" s="1"/>
  <c r="D66"/>
  <c r="E66" s="1"/>
  <c r="D74"/>
  <c r="E74" s="1"/>
  <c r="D43"/>
  <c r="E43" s="1"/>
  <c r="D51"/>
  <c r="E51" s="1"/>
  <c r="D59"/>
  <c r="E59" s="1"/>
  <c r="D67"/>
  <c r="E67" s="1"/>
  <c r="D75"/>
  <c r="E75" s="1"/>
  <c r="C34" i="5"/>
  <c r="G34" s="1"/>
  <c r="D40" i="10" l="1"/>
  <c r="E40" s="1"/>
  <c r="D72"/>
  <c r="E72" s="1"/>
  <c r="D73"/>
  <c r="E73" s="1"/>
  <c r="E39"/>
  <c r="E36" s="1"/>
  <c r="D36"/>
  <c r="D70" i="9"/>
  <c r="E70" s="1"/>
  <c r="D62"/>
  <c r="E62" s="1"/>
  <c r="D54"/>
  <c r="E54" s="1"/>
  <c r="D46"/>
  <c r="E46" s="1"/>
  <c r="D38"/>
  <c r="D69"/>
  <c r="E69" s="1"/>
  <c r="D61"/>
  <c r="E61" s="1"/>
  <c r="D53"/>
  <c r="E53" s="1"/>
  <c r="D45"/>
  <c r="E45" s="1"/>
  <c r="D37"/>
  <c r="D66"/>
  <c r="E66" s="1"/>
  <c r="D58"/>
  <c r="E58" s="1"/>
  <c r="D50"/>
  <c r="E50" s="1"/>
  <c r="D42"/>
  <c r="D73"/>
  <c r="E73" s="1"/>
  <c r="D65"/>
  <c r="E65" s="1"/>
  <c r="D57"/>
  <c r="E57" s="1"/>
  <c r="D49"/>
  <c r="E49" s="1"/>
  <c r="D41"/>
  <c r="D43"/>
  <c r="D52"/>
  <c r="E52" s="1"/>
  <c r="D51"/>
  <c r="E51" s="1"/>
  <c r="D44"/>
  <c r="E44" s="1"/>
  <c r="D47"/>
  <c r="E47" s="1"/>
  <c r="D40"/>
  <c r="D71"/>
  <c r="E71" s="1"/>
  <c r="D64"/>
  <c r="E64" s="1"/>
  <c r="D34"/>
  <c r="D68"/>
  <c r="E68" s="1"/>
  <c r="D36"/>
  <c r="D59"/>
  <c r="E59" s="1"/>
  <c r="D35"/>
  <c r="D67"/>
  <c r="E67" s="1"/>
  <c r="D60"/>
  <c r="E60" s="1"/>
  <c r="D63"/>
  <c r="E63" s="1"/>
  <c r="D72"/>
  <c r="E72" s="1"/>
  <c r="D55"/>
  <c r="E55" s="1"/>
  <c r="D48"/>
  <c r="E48" s="1"/>
  <c r="D56"/>
  <c r="E56" s="1"/>
  <c r="D39"/>
  <c r="C35" i="5"/>
  <c r="G35" s="1"/>
  <c r="E40" i="9" l="1"/>
  <c r="D35" i="5"/>
  <c r="E35" s="1"/>
  <c r="E41" i="9"/>
  <c r="D36" i="5"/>
  <c r="E38" i="9"/>
  <c r="D33" i="5"/>
  <c r="E33" s="1"/>
  <c r="E39" i="9"/>
  <c r="D34" i="5"/>
  <c r="E34" s="1"/>
  <c r="E35" i="9"/>
  <c r="D30" i="5"/>
  <c r="E30" s="1"/>
  <c r="E36" i="9"/>
  <c r="D31" i="5"/>
  <c r="E31" s="1"/>
  <c r="D29"/>
  <c r="E34" i="9"/>
  <c r="D31"/>
  <c r="E43"/>
  <c r="D38" i="5"/>
  <c r="E42" i="9"/>
  <c r="D37" i="5"/>
  <c r="E37" i="9"/>
  <c r="D32" i="5"/>
  <c r="E32" s="1"/>
  <c r="C36"/>
  <c r="G36" s="1"/>
  <c r="E36" l="1"/>
  <c r="E29"/>
  <c r="E31" i="9"/>
  <c r="C37" i="5"/>
  <c r="G37" s="1"/>
  <c r="E37" l="1"/>
  <c r="C38"/>
  <c r="G38" l="1"/>
  <c r="E38"/>
  <c r="C39"/>
  <c r="G39" s="1"/>
  <c r="C40" l="1"/>
  <c r="G40" s="1"/>
  <c r="C41" l="1"/>
  <c r="G41" s="1"/>
  <c r="C42" l="1"/>
  <c r="G42" s="1"/>
  <c r="C43" l="1"/>
  <c r="G43" s="1"/>
  <c r="C44" l="1"/>
  <c r="G44" s="1"/>
  <c r="C45" l="1"/>
  <c r="G45" s="1"/>
  <c r="C46" l="1"/>
  <c r="G46" s="1"/>
  <c r="C47" l="1"/>
  <c r="G47" s="1"/>
  <c r="C48" l="1"/>
  <c r="G48" s="1"/>
  <c r="C49" l="1"/>
  <c r="G49" s="1"/>
  <c r="C50" l="1"/>
  <c r="G50" s="1"/>
  <c r="C51" l="1"/>
  <c r="G51" s="1"/>
  <c r="C52" l="1"/>
  <c r="G52" s="1"/>
  <c r="C53" l="1"/>
  <c r="G53" s="1"/>
  <c r="C54" l="1"/>
  <c r="G54" s="1"/>
  <c r="C55" l="1"/>
  <c r="G55" s="1"/>
  <c r="C56" l="1"/>
  <c r="G56" s="1"/>
  <c r="C57" l="1"/>
  <c r="G57" s="1"/>
  <c r="C58" l="1"/>
  <c r="G58" s="1"/>
  <c r="C59" l="1"/>
  <c r="G59" s="1"/>
  <c r="C60" l="1"/>
  <c r="G60" s="1"/>
  <c r="C61" l="1"/>
  <c r="G61" s="1"/>
  <c r="C62" l="1"/>
  <c r="G62" s="1"/>
  <c r="C63" l="1"/>
  <c r="G63" s="1"/>
  <c r="C64" l="1"/>
  <c r="G64" s="1"/>
  <c r="C65" l="1"/>
  <c r="G65" s="1"/>
  <c r="C66" l="1"/>
  <c r="G66" s="1"/>
  <c r="C67" l="1"/>
  <c r="G67" s="1"/>
  <c r="C68" l="1"/>
  <c r="G68" s="1"/>
  <c r="G26" l="1"/>
  <c r="C14" i="6" l="1"/>
  <c r="C35" s="1"/>
  <c r="D78" l="1"/>
  <c r="E78" s="1"/>
  <c r="F78" s="1"/>
  <c r="D80"/>
  <c r="E80" s="1"/>
  <c r="D75"/>
  <c r="E75" s="1"/>
  <c r="D81"/>
  <c r="E81" s="1"/>
  <c r="D79"/>
  <c r="E79" s="1"/>
  <c r="F79" s="1"/>
  <c r="D77"/>
  <c r="E77" s="1"/>
  <c r="F77" s="1"/>
  <c r="D83"/>
  <c r="D82"/>
  <c r="D76"/>
  <c r="E76" s="1"/>
  <c r="D74"/>
  <c r="E74" s="1"/>
  <c r="E83"/>
  <c r="E82"/>
  <c r="E92"/>
  <c r="D57" i="5" s="1"/>
  <c r="E57" s="1"/>
  <c r="E91" i="6"/>
  <c r="D56" i="5" s="1"/>
  <c r="E56" s="1"/>
  <c r="E90" i="6"/>
  <c r="F90" s="1"/>
  <c r="E93"/>
  <c r="F93" s="1"/>
  <c r="E97"/>
  <c r="F97" s="1"/>
  <c r="E84"/>
  <c r="F84" s="1"/>
  <c r="E100"/>
  <c r="D65" i="5" s="1"/>
  <c r="E65" s="1"/>
  <c r="E99" i="6"/>
  <c r="F99" s="1"/>
  <c r="E98"/>
  <c r="F98" s="1"/>
  <c r="E85"/>
  <c r="F85" s="1"/>
  <c r="E101"/>
  <c r="D66" i="5" s="1"/>
  <c r="E66" s="1"/>
  <c r="E88" i="6"/>
  <c r="F88" s="1"/>
  <c r="E96"/>
  <c r="F96" s="1"/>
  <c r="E87"/>
  <c r="D52" i="5" s="1"/>
  <c r="E52" s="1"/>
  <c r="E95" i="6"/>
  <c r="F95" s="1"/>
  <c r="E103"/>
  <c r="D68" i="5" s="1"/>
  <c r="E68" s="1"/>
  <c r="E86" i="6"/>
  <c r="F86" s="1"/>
  <c r="F94"/>
  <c r="E102"/>
  <c r="D67" i="5" s="1"/>
  <c r="E67" s="1"/>
  <c r="E89" i="6"/>
  <c r="D54" i="5" s="1"/>
  <c r="E54" s="1"/>
  <c r="D64" l="1"/>
  <c r="E64" s="1"/>
  <c r="F87" i="6"/>
  <c r="D62" i="5"/>
  <c r="E62" s="1"/>
  <c r="D58"/>
  <c r="E58" s="1"/>
  <c r="F91" i="6"/>
  <c r="D53" i="5"/>
  <c r="E53" s="1"/>
  <c r="F76" i="6"/>
  <c r="D41" i="5"/>
  <c r="E41" s="1"/>
  <c r="D40"/>
  <c r="E40" s="1"/>
  <c r="F75" i="6"/>
  <c r="D55" i="5"/>
  <c r="E55" s="1"/>
  <c r="D44"/>
  <c r="E44" s="1"/>
  <c r="D42"/>
  <c r="E42" s="1"/>
  <c r="F100" i="6"/>
  <c r="D46" i="5"/>
  <c r="E46" s="1"/>
  <c r="F81" i="6"/>
  <c r="F80"/>
  <c r="D45" i="5"/>
  <c r="E45" s="1"/>
  <c r="F82" i="6"/>
  <c r="D47" i="5"/>
  <c r="E47" s="1"/>
  <c r="F83" i="6"/>
  <c r="D48" i="5"/>
  <c r="E48" s="1"/>
  <c r="F92" i="6"/>
  <c r="F103"/>
  <c r="F102"/>
  <c r="D51" i="5"/>
  <c r="E51" s="1"/>
  <c r="D63"/>
  <c r="E63" s="1"/>
  <c r="F101" i="6"/>
  <c r="D59" i="5"/>
  <c r="E59" s="1"/>
  <c r="F89" i="6"/>
  <c r="D61"/>
  <c r="D60" i="5"/>
  <c r="E60" s="1"/>
  <c r="D61"/>
  <c r="E61" s="1"/>
  <c r="D50"/>
  <c r="E50" s="1"/>
  <c r="D43"/>
  <c r="E43" s="1"/>
  <c r="D49"/>
  <c r="E49" s="1"/>
  <c r="F74" i="6"/>
  <c r="D39" i="5"/>
  <c r="E61" i="6"/>
  <c r="D26" i="5" l="1"/>
  <c r="D21" s="1"/>
  <c r="F61" i="6"/>
  <c r="E39" i="5"/>
  <c r="E26" s="1"/>
  <c r="D19" s="1"/>
</calcChain>
</file>

<file path=xl/sharedStrings.xml><?xml version="1.0" encoding="utf-8"?>
<sst xmlns="http://schemas.openxmlformats.org/spreadsheetml/2006/main" count="449" uniqueCount="293">
  <si>
    <t>Year from Comm</t>
  </si>
  <si>
    <t>Generation of Mo-99 (EOP)</t>
  </si>
  <si>
    <t>Generation (discounted to Comm)</t>
  </si>
  <si>
    <t>Totals</t>
  </si>
  <si>
    <t>A: Capital Costs</t>
  </si>
  <si>
    <t>B: General Overhead Costs of the Entire Site</t>
  </si>
  <si>
    <t>C: General Operational Costs of the Reactor</t>
  </si>
  <si>
    <t>D: Decommissioning</t>
  </si>
  <si>
    <t>General Administration Services</t>
  </si>
  <si>
    <t>Site Infrastructure Support</t>
  </si>
  <si>
    <t>Reactor Staff</t>
  </si>
  <si>
    <t>Reactor Fuel/General Consumables</t>
  </si>
  <si>
    <t>Utilities</t>
  </si>
  <si>
    <t>Waste Management</t>
  </si>
  <si>
    <t>Licensing and Regulatory Costs</t>
  </si>
  <si>
    <t>Security</t>
  </si>
  <si>
    <t>Irradiation Devices</t>
  </si>
  <si>
    <t>Handling of Irradiation Targets</t>
  </si>
  <si>
    <t>Specific Administration Costs</t>
  </si>
  <si>
    <t>Ex-Works Truck Loaded</t>
  </si>
  <si>
    <t>Cost Items</t>
  </si>
  <si>
    <t>First Glance</t>
  </si>
  <si>
    <t>Comments</t>
  </si>
  <si>
    <t>Methodology Questions:</t>
  </si>
  <si>
    <t>Variable</t>
  </si>
  <si>
    <r>
      <t>A</t>
    </r>
    <r>
      <rPr>
        <vertAlign val="subscript"/>
        <sz val="11"/>
        <color theme="1"/>
        <rFont val="Calibri"/>
        <family val="2"/>
        <scheme val="minor"/>
      </rPr>
      <t>1</t>
    </r>
  </si>
  <si>
    <r>
      <t>w</t>
    </r>
    <r>
      <rPr>
        <vertAlign val="subscript"/>
        <sz val="11"/>
        <color theme="1"/>
        <rFont val="Calibri"/>
        <family val="2"/>
        <scheme val="minor"/>
      </rPr>
      <t>1</t>
    </r>
  </si>
  <si>
    <r>
      <t>1. What is the percentage of ancillary equipment and related infrastructure is clearly attributable to specific missions</t>
    </r>
    <r>
      <rPr>
        <sz val="11"/>
        <color theme="1"/>
        <rFont val="Calibri"/>
        <family val="2"/>
        <scheme val="minor"/>
      </rPr>
      <t>?</t>
    </r>
  </si>
  <si>
    <r>
      <t>2. Of w</t>
    </r>
    <r>
      <rPr>
        <vertAlign val="subscript"/>
        <sz val="11"/>
        <color theme="1"/>
        <rFont val="Calibri"/>
        <family val="2"/>
        <scheme val="minor"/>
      </rPr>
      <t>1</t>
    </r>
    <r>
      <rPr>
        <sz val="11"/>
        <color theme="1"/>
        <rFont val="Calibri"/>
        <family val="2"/>
        <scheme val="minor"/>
      </rPr>
      <t xml:space="preserve">, what value is clearly attributable to </t>
    </r>
    <r>
      <rPr>
        <vertAlign val="superscript"/>
        <sz val="11"/>
        <color theme="1"/>
        <rFont val="Calibri"/>
        <family val="2"/>
        <scheme val="minor"/>
      </rPr>
      <t>99</t>
    </r>
    <r>
      <rPr>
        <sz val="11"/>
        <color theme="1"/>
        <rFont val="Calibri"/>
        <family val="2"/>
        <scheme val="minor"/>
      </rPr>
      <t xml:space="preserve">Mo production? </t>
    </r>
  </si>
  <si>
    <t>Move to E</t>
  </si>
  <si>
    <r>
      <t xml:space="preserve">3. What is the percentage (estimated) of reactor and facility usage that is for irradiation and handling of </t>
    </r>
    <r>
      <rPr>
        <vertAlign val="superscript"/>
        <sz val="11"/>
        <color theme="1"/>
        <rFont val="Calibri"/>
        <family val="2"/>
        <scheme val="minor"/>
      </rPr>
      <t>99</t>
    </r>
    <r>
      <rPr>
        <sz val="11"/>
        <color theme="1"/>
        <rFont val="Calibri"/>
        <family val="2"/>
        <scheme val="minor"/>
      </rPr>
      <t>Mo targets, based on business activity?</t>
    </r>
  </si>
  <si>
    <r>
      <t xml:space="preserve">Determined by % of total effort of operations related to </t>
    </r>
    <r>
      <rPr>
        <vertAlign val="superscript"/>
        <sz val="11"/>
        <color theme="1"/>
        <rFont val="Calibri"/>
        <family val="2"/>
        <scheme val="minor"/>
      </rPr>
      <t>99</t>
    </r>
    <r>
      <rPr>
        <sz val="11"/>
        <color theme="1"/>
        <rFont val="Calibri"/>
        <family val="2"/>
        <scheme val="minor"/>
      </rPr>
      <t>Mo production based on activity planning of the reactor lifetime</t>
    </r>
  </si>
  <si>
    <r>
      <t>w</t>
    </r>
    <r>
      <rPr>
        <vertAlign val="subscript"/>
        <sz val="11"/>
        <color theme="1"/>
        <rFont val="Calibri"/>
        <family val="2"/>
        <scheme val="minor"/>
      </rPr>
      <t>2</t>
    </r>
  </si>
  <si>
    <r>
      <t>w</t>
    </r>
    <r>
      <rPr>
        <vertAlign val="subscript"/>
        <sz val="11"/>
        <color theme="1"/>
        <rFont val="Calibri"/>
        <family val="2"/>
        <scheme val="minor"/>
      </rPr>
      <t>3</t>
    </r>
  </si>
  <si>
    <t>Initial Infrastructure</t>
  </si>
  <si>
    <t>First Glance Costs and Information</t>
  </si>
  <si>
    <t>Amortisation Period - Reactor</t>
  </si>
  <si>
    <t>years</t>
  </si>
  <si>
    <r>
      <t>Value should be moved directly to Variable E. For this example, say that the refurbishment is general with no clear identification to</t>
    </r>
    <r>
      <rPr>
        <vertAlign val="superscript"/>
        <sz val="11"/>
        <color theme="1"/>
        <rFont val="Calibri"/>
        <family val="2"/>
        <scheme val="minor"/>
      </rPr>
      <t xml:space="preserve"> 99</t>
    </r>
    <r>
      <rPr>
        <sz val="11"/>
        <color theme="1"/>
        <rFont val="Calibri"/>
        <family val="2"/>
        <scheme val="minor"/>
      </rPr>
      <t>Mo production.</t>
    </r>
  </si>
  <si>
    <t>Discount Rate</t>
  </si>
  <si>
    <t>Inflation</t>
  </si>
  <si>
    <t>Nominal Interest Rate = r</t>
  </si>
  <si>
    <t>Number of payment periods per year = t</t>
  </si>
  <si>
    <t>Comment</t>
  </si>
  <si>
    <t>D</t>
  </si>
  <si>
    <r>
      <t>z</t>
    </r>
    <r>
      <rPr>
        <vertAlign val="subscript"/>
        <sz val="11"/>
        <color theme="1"/>
        <rFont val="Calibri"/>
        <family val="2"/>
        <scheme val="minor"/>
      </rPr>
      <t>1</t>
    </r>
  </si>
  <si>
    <r>
      <t>z</t>
    </r>
    <r>
      <rPr>
        <vertAlign val="subscript"/>
        <sz val="11"/>
        <color theme="1"/>
        <rFont val="Calibri"/>
        <family val="2"/>
        <scheme val="minor"/>
      </rPr>
      <t>2</t>
    </r>
  </si>
  <si>
    <r>
      <rPr>
        <sz val="11"/>
        <color theme="1"/>
        <rFont val="Calibri"/>
        <family val="2"/>
        <scheme val="minor"/>
      </rPr>
      <t>z</t>
    </r>
    <r>
      <rPr>
        <vertAlign val="subscript"/>
        <sz val="11"/>
        <color theme="1"/>
        <rFont val="Calibri"/>
        <family val="2"/>
        <scheme val="minor"/>
      </rPr>
      <t>3</t>
    </r>
  </si>
  <si>
    <t>Interest Values</t>
  </si>
  <si>
    <t>B</t>
  </si>
  <si>
    <r>
      <t>Formula: x</t>
    </r>
    <r>
      <rPr>
        <b/>
        <vertAlign val="subscript"/>
        <sz val="11"/>
        <color theme="1"/>
        <rFont val="Calibri"/>
        <family val="2"/>
        <scheme val="minor"/>
      </rPr>
      <t>r</t>
    </r>
    <r>
      <rPr>
        <b/>
        <sz val="11"/>
        <color theme="1"/>
        <rFont val="Calibri"/>
        <family val="2"/>
        <scheme val="minor"/>
      </rPr>
      <t>B = B*(FTE</t>
    </r>
    <r>
      <rPr>
        <b/>
        <vertAlign val="subscript"/>
        <sz val="11"/>
        <color theme="1"/>
        <rFont val="Calibri"/>
        <family val="2"/>
        <scheme val="minor"/>
      </rPr>
      <t>r</t>
    </r>
    <r>
      <rPr>
        <b/>
        <sz val="11"/>
        <color theme="1"/>
        <rFont val="Calibri"/>
        <family val="2"/>
        <scheme val="minor"/>
      </rPr>
      <t>/</t>
    </r>
    <r>
      <rPr>
        <b/>
        <sz val="11"/>
        <color theme="1"/>
        <rFont val="Calibri"/>
        <family val="2"/>
      </rPr>
      <t>∑FTE); then apply factor y</t>
    </r>
  </si>
  <si>
    <t>Decommissioning costs for facility</t>
  </si>
  <si>
    <t>1. What is the value of full time employee equivalents at the full facility?</t>
  </si>
  <si>
    <t>∑FTE</t>
  </si>
  <si>
    <r>
      <t>FTE</t>
    </r>
    <r>
      <rPr>
        <vertAlign val="subscript"/>
        <sz val="11"/>
        <color theme="1"/>
        <rFont val="Calibri"/>
        <family val="2"/>
        <scheme val="minor"/>
      </rPr>
      <t>r</t>
    </r>
  </si>
  <si>
    <t>2. What is the value of full time employee equivalents at the full facility that can be cleary identified for any specific mission?</t>
  </si>
  <si>
    <t>Full-time employee equivalents are determined by the total hours worked by all employees at the facility divided by the total hours in the work year at the facility</t>
  </si>
  <si>
    <r>
      <t>x</t>
    </r>
    <r>
      <rPr>
        <vertAlign val="subscript"/>
        <sz val="11"/>
        <color theme="1"/>
        <rFont val="Calibri"/>
        <family val="2"/>
        <scheme val="minor"/>
      </rPr>
      <t>r</t>
    </r>
  </si>
  <si>
    <t>C</t>
  </si>
  <si>
    <r>
      <t>y</t>
    </r>
    <r>
      <rPr>
        <vertAlign val="subscript"/>
        <sz val="11"/>
        <color theme="1"/>
        <rFont val="Calibri"/>
        <family val="2"/>
        <scheme val="minor"/>
      </rPr>
      <t>m</t>
    </r>
  </si>
  <si>
    <t>Inflation = i</t>
  </si>
  <si>
    <r>
      <t>2. Of z</t>
    </r>
    <r>
      <rPr>
        <vertAlign val="subscript"/>
        <sz val="11"/>
        <color theme="1"/>
        <rFont val="Calibri"/>
        <family val="2"/>
        <scheme val="minor"/>
      </rPr>
      <t>1</t>
    </r>
    <r>
      <rPr>
        <sz val="11"/>
        <color theme="1"/>
        <rFont val="Calibri"/>
        <family val="2"/>
        <scheme val="minor"/>
      </rPr>
      <t xml:space="preserve">, what value is clearly attributable to </t>
    </r>
    <r>
      <rPr>
        <vertAlign val="superscript"/>
        <sz val="11"/>
        <color theme="1"/>
        <rFont val="Calibri"/>
        <family val="2"/>
        <scheme val="minor"/>
      </rPr>
      <t>99</t>
    </r>
    <r>
      <rPr>
        <sz val="11"/>
        <color theme="1"/>
        <rFont val="Calibri"/>
        <family val="2"/>
        <scheme val="minor"/>
      </rPr>
      <t>Mo production? (2011 currency)</t>
    </r>
  </si>
  <si>
    <t>These would be treated as fixed investment costs that need to be paid back to lender</t>
  </si>
  <si>
    <t>These would be treated as annuity payments to have funds available for decommissioning</t>
  </si>
  <si>
    <t>These would be treated as annual costs</t>
  </si>
  <si>
    <t>Costs (Discounted)</t>
  </si>
  <si>
    <t>Costs  (Nominal)</t>
  </si>
  <si>
    <t>Cost (Discounted)</t>
  </si>
  <si>
    <t>Year</t>
  </si>
  <si>
    <t>See comments in A-Capital</t>
  </si>
  <si>
    <t>See comments in D-Decommissioning</t>
  </si>
  <si>
    <r>
      <t xml:space="preserve">3. What is the value of full time employee equivalents at the full facility that can be cleary identified for </t>
    </r>
    <r>
      <rPr>
        <vertAlign val="superscript"/>
        <sz val="11"/>
        <color theme="1"/>
        <rFont val="Calibri"/>
        <family val="2"/>
        <scheme val="minor"/>
      </rPr>
      <t>99</t>
    </r>
    <r>
      <rPr>
        <sz val="11"/>
        <color theme="1"/>
        <rFont val="Calibri"/>
        <family val="2"/>
        <scheme val="minor"/>
      </rPr>
      <t>Mo irradiation services?</t>
    </r>
  </si>
  <si>
    <t>Move to C</t>
  </si>
  <si>
    <t>Move to other missions</t>
  </si>
  <si>
    <t>This is the first-glance operational costs + identified costs from first-glance overhead costs - those costs that can be easily attributed to specific missions</t>
  </si>
  <si>
    <r>
      <t>To determine y</t>
    </r>
    <r>
      <rPr>
        <u/>
        <vertAlign val="subscript"/>
        <sz val="11"/>
        <color theme="1"/>
        <rFont val="Calibri"/>
        <family val="2"/>
        <scheme val="minor"/>
      </rPr>
      <t>m</t>
    </r>
  </si>
  <si>
    <t>∑U</t>
  </si>
  <si>
    <r>
      <t>U</t>
    </r>
    <r>
      <rPr>
        <vertAlign val="subscript"/>
        <sz val="11"/>
        <color theme="1"/>
        <rFont val="Calibri"/>
        <family val="2"/>
        <scheme val="minor"/>
      </rPr>
      <t>m</t>
    </r>
  </si>
  <si>
    <t>Number of irradiation sites by user group</t>
  </si>
  <si>
    <t>Unused</t>
  </si>
  <si>
    <t>Total</t>
  </si>
  <si>
    <t>User 3</t>
  </si>
  <si>
    <r>
      <rPr>
        <vertAlign val="superscript"/>
        <sz val="11"/>
        <color theme="1"/>
        <rFont val="Calibri"/>
        <family val="2"/>
        <scheme val="minor"/>
      </rPr>
      <t>99</t>
    </r>
    <r>
      <rPr>
        <sz val="11"/>
        <color theme="1"/>
        <rFont val="Calibri"/>
        <family val="2"/>
        <scheme val="minor"/>
      </rPr>
      <t>Mo user</t>
    </r>
  </si>
  <si>
    <t>Average</t>
  </si>
  <si>
    <t>Users - Sites * Quality Factor</t>
  </si>
  <si>
    <t>Total without unused</t>
  </si>
  <si>
    <t>% avg</t>
  </si>
  <si>
    <t>User 1</t>
  </si>
  <si>
    <r>
      <t>y</t>
    </r>
    <r>
      <rPr>
        <vertAlign val="subscript"/>
        <sz val="11"/>
        <color theme="1"/>
        <rFont val="Calibri"/>
        <family val="2"/>
        <scheme val="minor"/>
      </rPr>
      <t>z</t>
    </r>
  </si>
  <si>
    <r>
      <t>y</t>
    </r>
    <r>
      <rPr>
        <vertAlign val="subscript"/>
        <sz val="11"/>
        <color theme="1"/>
        <rFont val="Calibri"/>
        <family val="2"/>
        <scheme val="minor"/>
      </rPr>
      <t>x</t>
    </r>
  </si>
  <si>
    <t>Derived in C-Operational</t>
  </si>
  <si>
    <r>
      <t>Formula: y</t>
    </r>
    <r>
      <rPr>
        <b/>
        <vertAlign val="subscript"/>
        <sz val="11"/>
        <color theme="1"/>
        <rFont val="Calibri"/>
        <family val="2"/>
        <scheme val="minor"/>
      </rPr>
      <t>m</t>
    </r>
    <r>
      <rPr>
        <b/>
        <sz val="11"/>
        <color theme="1"/>
        <rFont val="Calibri"/>
        <family val="2"/>
        <scheme val="minor"/>
      </rPr>
      <t>C = C*(U</t>
    </r>
    <r>
      <rPr>
        <b/>
        <vertAlign val="subscript"/>
        <sz val="11"/>
        <color theme="1"/>
        <rFont val="Calibri"/>
        <family val="2"/>
        <scheme val="minor"/>
      </rPr>
      <t>m</t>
    </r>
    <r>
      <rPr>
        <b/>
        <sz val="11"/>
        <color theme="1"/>
        <rFont val="Calibri"/>
        <family val="2"/>
        <scheme val="minor"/>
      </rPr>
      <t>/</t>
    </r>
    <r>
      <rPr>
        <b/>
        <sz val="11"/>
        <color theme="1"/>
        <rFont val="Calibri"/>
        <family val="2"/>
      </rPr>
      <t>∑U)</t>
    </r>
  </si>
  <si>
    <r>
      <t>Formulas: y</t>
    </r>
    <r>
      <rPr>
        <b/>
        <vertAlign val="subscript"/>
        <sz val="11"/>
        <color theme="1"/>
        <rFont val="Calibri"/>
        <family val="2"/>
        <scheme val="minor"/>
      </rPr>
      <t>m</t>
    </r>
    <r>
      <rPr>
        <b/>
        <sz val="11"/>
        <color theme="1"/>
        <rFont val="Calibri"/>
        <family val="2"/>
        <scheme val="minor"/>
      </rPr>
      <t xml:space="preserve"> = U</t>
    </r>
    <r>
      <rPr>
        <b/>
        <vertAlign val="subscript"/>
        <sz val="11"/>
        <color theme="1"/>
        <rFont val="Calibri"/>
        <family val="2"/>
        <scheme val="minor"/>
      </rPr>
      <t>m</t>
    </r>
    <r>
      <rPr>
        <b/>
        <sz val="11"/>
        <color theme="1"/>
        <rFont val="Calibri"/>
        <family val="2"/>
        <scheme val="minor"/>
      </rPr>
      <t>/</t>
    </r>
    <r>
      <rPr>
        <b/>
        <sz val="11"/>
        <color theme="1"/>
        <rFont val="Calibri"/>
        <family val="2"/>
      </rPr>
      <t>∑U and U</t>
    </r>
    <r>
      <rPr>
        <b/>
        <vertAlign val="subscript"/>
        <sz val="11"/>
        <color theme="1"/>
        <rFont val="Calibri"/>
        <family val="2"/>
      </rPr>
      <t>m</t>
    </r>
    <r>
      <rPr>
        <b/>
        <sz val="11"/>
        <color theme="1"/>
        <rFont val="Calibri"/>
        <family val="2"/>
      </rPr>
      <t xml:space="preserve"> = ∑ (S * Qf)</t>
    </r>
  </si>
  <si>
    <r>
      <t>Formula: wA + y</t>
    </r>
    <r>
      <rPr>
        <b/>
        <vertAlign val="subscript"/>
        <sz val="11"/>
        <color theme="1"/>
        <rFont val="Calibri"/>
        <family val="2"/>
        <scheme val="minor"/>
      </rPr>
      <t>m</t>
    </r>
    <r>
      <rPr>
        <b/>
        <sz val="11"/>
        <color theme="1"/>
        <rFont val="Calibri"/>
        <family val="2"/>
        <scheme val="minor"/>
      </rPr>
      <t>(x</t>
    </r>
    <r>
      <rPr>
        <b/>
        <vertAlign val="subscript"/>
        <sz val="11"/>
        <color theme="1"/>
        <rFont val="Calibri"/>
        <family val="2"/>
        <scheme val="minor"/>
      </rPr>
      <t>r</t>
    </r>
    <r>
      <rPr>
        <b/>
        <sz val="11"/>
        <color theme="1"/>
        <rFont val="Calibri"/>
        <family val="2"/>
        <scheme val="minor"/>
      </rPr>
      <t>B + C) + zD + E</t>
    </r>
  </si>
  <si>
    <t xml:space="preserve"> Year</t>
  </si>
  <si>
    <t>LUCM (€/6-day curie)</t>
  </si>
  <si>
    <t>Note: Derived from variable worksheets</t>
  </si>
  <si>
    <t>- input to model</t>
  </si>
  <si>
    <t>- output from model</t>
  </si>
  <si>
    <t>First Refurbishment</t>
  </si>
  <si>
    <t>Refurbishment Costs - first</t>
  </si>
  <si>
    <t>Refurbishment Costs - second</t>
  </si>
  <si>
    <t>Refurbishment Costs - third</t>
  </si>
  <si>
    <t>Amortisation period (years) - first</t>
  </si>
  <si>
    <t>Amortisation period (years) - second</t>
  </si>
  <si>
    <t>Amortisation period (years) - third</t>
  </si>
  <si>
    <r>
      <t>A</t>
    </r>
    <r>
      <rPr>
        <vertAlign val="subscript"/>
        <sz val="11"/>
        <color theme="1"/>
        <rFont val="Calibri"/>
        <family val="2"/>
        <scheme val="minor"/>
      </rPr>
      <t>2a</t>
    </r>
  </si>
  <si>
    <r>
      <t>A</t>
    </r>
    <r>
      <rPr>
        <vertAlign val="subscript"/>
        <sz val="11"/>
        <color theme="1"/>
        <rFont val="Calibri"/>
        <family val="2"/>
        <scheme val="minor"/>
      </rPr>
      <t>2b</t>
    </r>
  </si>
  <si>
    <r>
      <t>A</t>
    </r>
    <r>
      <rPr>
        <vertAlign val="subscript"/>
        <sz val="11"/>
        <color theme="1"/>
        <rFont val="Calibri"/>
        <family val="2"/>
        <scheme val="minor"/>
      </rPr>
      <t>2c</t>
    </r>
  </si>
  <si>
    <t>Amortisation period (years) - initial infrastructure</t>
  </si>
  <si>
    <r>
      <t>k</t>
    </r>
    <r>
      <rPr>
        <vertAlign val="subscript"/>
        <sz val="11"/>
        <color theme="1"/>
        <rFont val="Calibri"/>
        <family val="2"/>
        <scheme val="minor"/>
      </rPr>
      <t>a</t>
    </r>
  </si>
  <si>
    <r>
      <t>k</t>
    </r>
    <r>
      <rPr>
        <vertAlign val="subscript"/>
        <sz val="11"/>
        <color theme="1"/>
        <rFont val="Calibri"/>
        <family val="2"/>
        <scheme val="minor"/>
      </rPr>
      <t>c</t>
    </r>
  </si>
  <si>
    <r>
      <t>k</t>
    </r>
    <r>
      <rPr>
        <vertAlign val="subscript"/>
        <sz val="11"/>
        <color theme="1"/>
        <rFont val="Calibri"/>
        <family val="2"/>
        <scheme val="minor"/>
      </rPr>
      <t>b</t>
    </r>
  </si>
  <si>
    <t>To derive the nominal value of the refurbishment, in order to determine the value to be paid back every year to the lender. Derived using: Future Value = Present Value * (1 + inflation rate)^year of refurbishment.</t>
  </si>
  <si>
    <t>Year of refurbishment - second</t>
  </si>
  <si>
    <t>Year of refurbishment - first</t>
  </si>
  <si>
    <t>Year of refurbishment - third</t>
  </si>
  <si>
    <t>n</t>
  </si>
  <si>
    <t>t</t>
  </si>
  <si>
    <t>r</t>
  </si>
  <si>
    <t>i</t>
  </si>
  <si>
    <t>Nominal Interest Rate</t>
  </si>
  <si>
    <t>Number of payment periods per year</t>
  </si>
  <si>
    <r>
      <t>w</t>
    </r>
    <r>
      <rPr>
        <vertAlign val="subscript"/>
        <sz val="11"/>
        <color theme="1"/>
        <rFont val="Calibri"/>
        <family val="2"/>
        <scheme val="minor"/>
      </rPr>
      <t>4a</t>
    </r>
  </si>
  <si>
    <r>
      <t>w</t>
    </r>
    <r>
      <rPr>
        <vertAlign val="subscript"/>
        <sz val="11"/>
        <color theme="1"/>
        <rFont val="Calibri"/>
        <family val="2"/>
        <scheme val="minor"/>
      </rPr>
      <t>5a</t>
    </r>
  </si>
  <si>
    <r>
      <t>w</t>
    </r>
    <r>
      <rPr>
        <vertAlign val="subscript"/>
        <sz val="11"/>
        <color theme="1"/>
        <rFont val="Calibri"/>
        <family val="2"/>
        <scheme val="minor"/>
      </rPr>
      <t>6a</t>
    </r>
  </si>
  <si>
    <t>Second Refurbishment</t>
  </si>
  <si>
    <t>See above - First Refurbishment - for comment</t>
  </si>
  <si>
    <t>Third Refurbishment</t>
  </si>
  <si>
    <r>
      <t>x</t>
    </r>
    <r>
      <rPr>
        <vertAlign val="subscript"/>
        <sz val="11"/>
        <color theme="1"/>
        <rFont val="Calibri"/>
        <family val="2"/>
        <scheme val="minor"/>
      </rPr>
      <t>r</t>
    </r>
    <r>
      <rPr>
        <sz val="11"/>
        <color theme="1"/>
        <rFont val="Calibri"/>
        <family val="2"/>
        <scheme val="minor"/>
      </rPr>
      <t xml:space="preserve"> = FTEr/∑FTE</t>
    </r>
  </si>
  <si>
    <t>Additional Information</t>
  </si>
  <si>
    <t>Production</t>
  </si>
  <si>
    <r>
      <t>w</t>
    </r>
    <r>
      <rPr>
        <vertAlign val="subscript"/>
        <sz val="11"/>
        <color theme="1"/>
        <rFont val="Calibri"/>
        <family val="2"/>
        <scheme val="minor"/>
      </rPr>
      <t>6b</t>
    </r>
  </si>
  <si>
    <r>
      <t>w</t>
    </r>
    <r>
      <rPr>
        <vertAlign val="subscript"/>
        <sz val="11"/>
        <color theme="1"/>
        <rFont val="Calibri"/>
        <family val="2"/>
        <scheme val="minor"/>
      </rPr>
      <t>6c</t>
    </r>
  </si>
  <si>
    <r>
      <t>z</t>
    </r>
    <r>
      <rPr>
        <vertAlign val="subscript"/>
        <sz val="11"/>
        <color theme="1"/>
        <rFont val="Calibri"/>
        <family val="2"/>
        <scheme val="minor"/>
      </rPr>
      <t>3</t>
    </r>
  </si>
  <si>
    <t>Refer to Worksheet "Neutron Utilisation-C"</t>
  </si>
  <si>
    <t>Year from Comm (k)</t>
  </si>
  <si>
    <r>
      <t>E</t>
    </r>
    <r>
      <rPr>
        <vertAlign val="superscript"/>
        <sz val="11"/>
        <color theme="1"/>
        <rFont val="Calibri"/>
        <family val="2"/>
        <scheme val="minor"/>
      </rPr>
      <t>0</t>
    </r>
  </si>
  <si>
    <r>
      <t>A</t>
    </r>
    <r>
      <rPr>
        <vertAlign val="subscript"/>
        <sz val="11"/>
        <color theme="1"/>
        <rFont val="Calibri"/>
        <family val="2"/>
        <scheme val="minor"/>
      </rPr>
      <t>1</t>
    </r>
    <r>
      <rPr>
        <vertAlign val="superscript"/>
        <sz val="11"/>
        <color theme="1"/>
        <rFont val="Calibri"/>
        <family val="2"/>
        <scheme val="minor"/>
      </rPr>
      <t>99Mo</t>
    </r>
  </si>
  <si>
    <r>
      <t>A</t>
    </r>
    <r>
      <rPr>
        <vertAlign val="subscript"/>
        <sz val="11"/>
        <color theme="1"/>
        <rFont val="Calibri"/>
        <family val="2"/>
        <scheme val="minor"/>
      </rPr>
      <t>2a</t>
    </r>
    <r>
      <rPr>
        <vertAlign val="superscript"/>
        <sz val="11"/>
        <color theme="1"/>
        <rFont val="Calibri"/>
        <family val="2"/>
        <scheme val="minor"/>
      </rPr>
      <t>99Mo</t>
    </r>
  </si>
  <si>
    <r>
      <t>A</t>
    </r>
    <r>
      <rPr>
        <vertAlign val="subscript"/>
        <sz val="11"/>
        <color theme="1"/>
        <rFont val="Calibri"/>
        <family val="2"/>
        <scheme val="minor"/>
      </rPr>
      <t>2b</t>
    </r>
    <r>
      <rPr>
        <vertAlign val="superscript"/>
        <sz val="11"/>
        <color theme="1"/>
        <rFont val="Calibri"/>
        <family val="2"/>
        <scheme val="minor"/>
      </rPr>
      <t>99Mo</t>
    </r>
  </si>
  <si>
    <r>
      <t>A</t>
    </r>
    <r>
      <rPr>
        <vertAlign val="subscript"/>
        <sz val="11"/>
        <color theme="1"/>
        <rFont val="Calibri"/>
        <family val="2"/>
        <scheme val="minor"/>
      </rPr>
      <t>2c</t>
    </r>
    <r>
      <rPr>
        <vertAlign val="superscript"/>
        <sz val="11"/>
        <color theme="1"/>
        <rFont val="Calibri"/>
        <family val="2"/>
        <scheme val="minor"/>
      </rPr>
      <t>99Mo</t>
    </r>
  </si>
  <si>
    <r>
      <rPr>
        <sz val="11"/>
        <color theme="1"/>
        <rFont val="Calibri"/>
        <family val="2"/>
        <scheme val="minor"/>
      </rPr>
      <t>B</t>
    </r>
    <r>
      <rPr>
        <vertAlign val="superscript"/>
        <sz val="11"/>
        <color theme="1"/>
        <rFont val="Calibri"/>
        <family val="2"/>
        <scheme val="minor"/>
      </rPr>
      <t>99Mo</t>
    </r>
  </si>
  <si>
    <r>
      <rPr>
        <sz val="11"/>
        <color theme="1"/>
        <rFont val="Calibri"/>
        <family val="2"/>
        <scheme val="minor"/>
      </rPr>
      <t>C</t>
    </r>
    <r>
      <rPr>
        <vertAlign val="superscript"/>
        <sz val="11"/>
        <color theme="1"/>
        <rFont val="Calibri"/>
        <family val="2"/>
        <scheme val="minor"/>
      </rPr>
      <t>99Mo</t>
    </r>
  </si>
  <si>
    <r>
      <rPr>
        <sz val="11"/>
        <color theme="1"/>
        <rFont val="Calibri"/>
        <family val="2"/>
        <scheme val="minor"/>
      </rPr>
      <t>D</t>
    </r>
    <r>
      <rPr>
        <vertAlign val="superscript"/>
        <sz val="11"/>
        <color theme="1"/>
        <rFont val="Calibri"/>
        <family val="2"/>
        <scheme val="minor"/>
      </rPr>
      <t>99Mo</t>
    </r>
  </si>
  <si>
    <r>
      <t>Value should be moved directly to Variable E. Say that of Z</t>
    </r>
    <r>
      <rPr>
        <vertAlign val="subscript"/>
        <sz val="11"/>
        <color theme="1"/>
        <rFont val="Calibri"/>
        <family val="2"/>
        <scheme val="minor"/>
      </rPr>
      <t>1</t>
    </r>
    <r>
      <rPr>
        <sz val="11"/>
        <color theme="1"/>
        <rFont val="Calibri"/>
        <family val="2"/>
        <scheme val="minor"/>
      </rPr>
      <t xml:space="preserve"> 1</t>
    </r>
    <r>
      <rPr>
        <sz val="11"/>
        <rFont val="Calibri"/>
        <family val="2"/>
        <scheme val="minor"/>
      </rPr>
      <t>M€</t>
    </r>
    <r>
      <rPr>
        <sz val="11"/>
        <color theme="1"/>
        <rFont val="Calibri"/>
        <family val="2"/>
        <scheme val="minor"/>
      </rPr>
      <t xml:space="preserve"> is for irrigation rigs and other specific infrastructure for </t>
    </r>
    <r>
      <rPr>
        <vertAlign val="superscript"/>
        <sz val="11"/>
        <color theme="1"/>
        <rFont val="Calibri"/>
        <family val="2"/>
        <scheme val="minor"/>
      </rPr>
      <t>99</t>
    </r>
    <r>
      <rPr>
        <sz val="11"/>
        <color theme="1"/>
        <rFont val="Calibri"/>
        <family val="2"/>
        <scheme val="minor"/>
      </rPr>
      <t>Mo production</t>
    </r>
  </si>
  <si>
    <t>This variable determines how much is needed to be set aside every year to have the required percentage in real terms at the end of the amortisation period: Factor = r/[(1+r)^n-1], where n is the amortisation period</t>
  </si>
  <si>
    <t xml:space="preserve">Use this question if General Overhead Costs have not already subtracted these costs and attributed them to specific missions. </t>
  </si>
  <si>
    <r>
      <t>D</t>
    </r>
    <r>
      <rPr>
        <vertAlign val="subscript"/>
        <sz val="11"/>
        <color theme="1"/>
        <rFont val="Calibri"/>
        <family val="2"/>
        <scheme val="minor"/>
      </rPr>
      <t>n</t>
    </r>
  </si>
  <si>
    <r>
      <rPr>
        <sz val="11"/>
        <color theme="1"/>
        <rFont val="Calibri"/>
        <family val="2"/>
        <scheme val="minor"/>
      </rPr>
      <t>D</t>
    </r>
    <r>
      <rPr>
        <vertAlign val="subscript"/>
        <sz val="11"/>
        <color theme="1"/>
        <rFont val="Calibri"/>
        <family val="2"/>
        <scheme val="minor"/>
      </rPr>
      <t>n</t>
    </r>
    <r>
      <rPr>
        <vertAlign val="superscript"/>
        <sz val="11"/>
        <color theme="1"/>
        <rFont val="Calibri"/>
        <family val="2"/>
        <scheme val="minor"/>
      </rPr>
      <t>99Mo</t>
    </r>
  </si>
  <si>
    <r>
      <t>Formula: E = (E</t>
    </r>
    <r>
      <rPr>
        <b/>
        <vertAlign val="superscript"/>
        <sz val="11"/>
        <color theme="1"/>
        <rFont val="Calibri"/>
        <family val="2"/>
        <scheme val="minor"/>
      </rPr>
      <t>0</t>
    </r>
    <r>
      <rPr>
        <b/>
        <sz val="11"/>
        <color theme="1"/>
        <rFont val="Calibri"/>
        <family val="2"/>
        <scheme val="minor"/>
      </rPr>
      <t>*(1+i</t>
    </r>
    <r>
      <rPr>
        <b/>
        <sz val="11"/>
        <color theme="1"/>
        <rFont val="Calibri"/>
        <family val="2"/>
      </rPr>
      <t>)</t>
    </r>
    <r>
      <rPr>
        <b/>
        <vertAlign val="superscript"/>
        <sz val="11"/>
        <color theme="1"/>
        <rFont val="Calibri"/>
        <family val="2"/>
      </rPr>
      <t>k</t>
    </r>
    <r>
      <rPr>
        <b/>
        <sz val="11"/>
        <color theme="1"/>
        <rFont val="Calibri"/>
        <family val="2"/>
      </rPr>
      <t>)+(A</t>
    </r>
    <r>
      <rPr>
        <b/>
        <vertAlign val="subscript"/>
        <sz val="11"/>
        <color theme="1"/>
        <rFont val="Calibri"/>
        <family val="2"/>
      </rPr>
      <t>1</t>
    </r>
    <r>
      <rPr>
        <b/>
        <vertAlign val="superscript"/>
        <sz val="11"/>
        <color theme="1"/>
        <rFont val="Calibri"/>
        <family val="2"/>
      </rPr>
      <t>99Mo</t>
    </r>
    <r>
      <rPr>
        <b/>
        <sz val="11"/>
        <color theme="1"/>
        <rFont val="Calibri"/>
        <family val="2"/>
      </rPr>
      <t>/w</t>
    </r>
    <r>
      <rPr>
        <b/>
        <vertAlign val="subscript"/>
        <sz val="11"/>
        <color theme="1"/>
        <rFont val="Calibri"/>
        <family val="2"/>
      </rPr>
      <t>3</t>
    </r>
    <r>
      <rPr>
        <b/>
        <sz val="11"/>
        <color theme="1"/>
        <rFont val="Calibri"/>
        <family val="2"/>
      </rPr>
      <t>)+(∑A</t>
    </r>
    <r>
      <rPr>
        <b/>
        <vertAlign val="subscript"/>
        <sz val="11"/>
        <color theme="1"/>
        <rFont val="Calibri"/>
        <family val="2"/>
      </rPr>
      <t>2x</t>
    </r>
    <r>
      <rPr>
        <b/>
        <vertAlign val="superscript"/>
        <sz val="11"/>
        <color theme="1"/>
        <rFont val="Calibri"/>
        <family val="2"/>
      </rPr>
      <t>99Mo</t>
    </r>
    <r>
      <rPr>
        <b/>
        <sz val="11"/>
        <color theme="1"/>
        <rFont val="Calibri"/>
        <family val="2"/>
      </rPr>
      <t>/w</t>
    </r>
    <r>
      <rPr>
        <b/>
        <vertAlign val="subscript"/>
        <sz val="11"/>
        <color theme="1"/>
        <rFont val="Calibri"/>
        <family val="2"/>
      </rPr>
      <t>6x</t>
    </r>
    <r>
      <rPr>
        <b/>
        <sz val="11"/>
        <color theme="1"/>
        <rFont val="Calibri"/>
        <family val="2"/>
      </rPr>
      <t>)+(B</t>
    </r>
    <r>
      <rPr>
        <b/>
        <vertAlign val="superscript"/>
        <sz val="11"/>
        <color theme="1"/>
        <rFont val="Calibri"/>
        <family val="2"/>
      </rPr>
      <t>99Mo</t>
    </r>
    <r>
      <rPr>
        <b/>
        <sz val="11"/>
        <color theme="1"/>
        <rFont val="Calibri"/>
        <family val="2"/>
      </rPr>
      <t>*(1+i)</t>
    </r>
    <r>
      <rPr>
        <b/>
        <vertAlign val="superscript"/>
        <sz val="11"/>
        <color theme="1"/>
        <rFont val="Calibri"/>
        <family val="2"/>
      </rPr>
      <t>k</t>
    </r>
    <r>
      <rPr>
        <b/>
        <sz val="11"/>
        <color theme="1"/>
        <rFont val="Calibri"/>
        <family val="2"/>
      </rPr>
      <t>)+(C</t>
    </r>
    <r>
      <rPr>
        <b/>
        <vertAlign val="superscript"/>
        <sz val="11"/>
        <color theme="1"/>
        <rFont val="Calibri"/>
        <family val="2"/>
      </rPr>
      <t>99Mo</t>
    </r>
    <r>
      <rPr>
        <b/>
        <sz val="11"/>
        <color theme="1"/>
        <rFont val="Calibri"/>
        <family val="2"/>
      </rPr>
      <t>*(1+i)</t>
    </r>
    <r>
      <rPr>
        <b/>
        <vertAlign val="superscript"/>
        <sz val="11"/>
        <color theme="1"/>
        <rFont val="Calibri"/>
        <family val="2"/>
      </rPr>
      <t>k</t>
    </r>
    <r>
      <rPr>
        <b/>
        <sz val="11"/>
        <color theme="1"/>
        <rFont val="Calibri"/>
        <family val="2"/>
      </rPr>
      <t>)+([D</t>
    </r>
    <r>
      <rPr>
        <b/>
        <vertAlign val="subscript"/>
        <sz val="11"/>
        <color theme="1"/>
        <rFont val="Calibri"/>
        <family val="2"/>
      </rPr>
      <t>n</t>
    </r>
    <r>
      <rPr>
        <b/>
        <vertAlign val="superscript"/>
        <sz val="11"/>
        <color theme="1"/>
        <rFont val="Calibri"/>
        <family val="2"/>
      </rPr>
      <t>99Mo</t>
    </r>
    <r>
      <rPr>
        <b/>
        <sz val="11"/>
        <color theme="1"/>
        <rFont val="Calibri"/>
        <family val="2"/>
      </rPr>
      <t>/(1+r)</t>
    </r>
    <r>
      <rPr>
        <b/>
        <vertAlign val="superscript"/>
        <sz val="11"/>
        <color theme="1"/>
        <rFont val="Calibri"/>
        <family val="2"/>
      </rPr>
      <t>n</t>
    </r>
    <r>
      <rPr>
        <b/>
        <sz val="11"/>
        <color theme="1"/>
        <rFont val="Calibri"/>
        <family val="2"/>
      </rPr>
      <t>]*z</t>
    </r>
    <r>
      <rPr>
        <b/>
        <vertAlign val="subscript"/>
        <sz val="11"/>
        <color theme="1"/>
        <rFont val="Calibri"/>
        <family val="2"/>
      </rPr>
      <t>3</t>
    </r>
    <r>
      <rPr>
        <b/>
        <sz val="11"/>
        <color theme="1"/>
        <rFont val="Calibri"/>
        <family val="2"/>
      </rPr>
      <t>)</t>
    </r>
  </si>
  <si>
    <t>d</t>
  </si>
  <si>
    <t>Represents the PV of the decommissioning fund, derived from the formula PV=FV/(1+d)^n, where n is the amortisation period and d is the real interest rate</t>
  </si>
  <si>
    <t>Value of Decommissioning Fund for facility: year 0</t>
  </si>
  <si>
    <r>
      <t>Accounting for financing costs, this establishes the amount needed to be paid annually to funder, w</t>
    </r>
    <r>
      <rPr>
        <vertAlign val="subscript"/>
        <sz val="11"/>
        <color theme="1"/>
        <rFont val="Calibri"/>
        <family val="2"/>
        <scheme val="minor"/>
      </rPr>
      <t>3</t>
    </r>
    <r>
      <rPr>
        <sz val="11"/>
        <color theme="1"/>
        <rFont val="Calibri"/>
        <family val="2"/>
        <scheme val="minor"/>
      </rPr>
      <t xml:space="preserve"> = ([(1+r/t)^(n*t)]-1))/[(r/t)*((1+(r/t))^(n*t)], where n is the amortisation period of the infrastructure and t is the number of payment periods per year.</t>
    </r>
  </si>
  <si>
    <t>Start of amortisation period for refurbishment</t>
  </si>
  <si>
    <t>RESULTS</t>
  </si>
  <si>
    <t>TOTAL RESULTS</t>
  </si>
  <si>
    <t xml:space="preserve">Amortisation period for each refurbishment should be the expected life of the refurbishment. In this example, 5% of original capital, spent after each 10 years of operation (years 11, 21, 31), amortised over 10 years. </t>
  </si>
  <si>
    <t>Overnight capital costs; financing costs are accounted for in amortisation factors below</t>
  </si>
  <si>
    <r>
      <t xml:space="preserve">Determined by % of total effort of operations related to </t>
    </r>
    <r>
      <rPr>
        <vertAlign val="superscript"/>
        <sz val="11"/>
        <color theme="1"/>
        <rFont val="Calibri"/>
        <family val="2"/>
        <scheme val="minor"/>
      </rPr>
      <t>99</t>
    </r>
    <r>
      <rPr>
        <sz val="11"/>
        <color theme="1"/>
        <rFont val="Calibri"/>
        <family val="2"/>
        <scheme val="minor"/>
      </rPr>
      <t>Mo production based on activity planning of the reactor lifetime; y</t>
    </r>
    <r>
      <rPr>
        <vertAlign val="subscript"/>
        <sz val="11"/>
        <color theme="1"/>
        <rFont val="Calibri"/>
        <family val="2"/>
        <scheme val="minor"/>
      </rPr>
      <t xml:space="preserve">m </t>
    </r>
    <r>
      <rPr>
        <sz val="11"/>
        <color theme="1"/>
        <rFont val="Calibri"/>
        <family val="2"/>
        <scheme val="minor"/>
      </rPr>
      <t>is suggested to be used as a reference and for validation of the percentage (see guidance document for additional information)</t>
    </r>
  </si>
  <si>
    <r>
      <t>Determined by % of total effort of operations related to</t>
    </r>
    <r>
      <rPr>
        <vertAlign val="superscript"/>
        <sz val="11"/>
        <color theme="1"/>
        <rFont val="Calibri"/>
        <family val="2"/>
        <scheme val="minor"/>
      </rPr>
      <t xml:space="preserve"> 99</t>
    </r>
    <r>
      <rPr>
        <sz val="11"/>
        <color theme="1"/>
        <rFont val="Calibri"/>
        <family val="2"/>
        <scheme val="minor"/>
      </rPr>
      <t>Mo production based on activity planning of the reactor lifetime; y</t>
    </r>
    <r>
      <rPr>
        <vertAlign val="subscript"/>
        <sz val="11"/>
        <color theme="1"/>
        <rFont val="Calibri"/>
        <family val="2"/>
        <scheme val="minor"/>
      </rPr>
      <t>m</t>
    </r>
    <r>
      <rPr>
        <sz val="11"/>
        <color theme="1"/>
        <rFont val="Calibri"/>
        <family val="2"/>
        <scheme val="minor"/>
      </rPr>
      <t xml:space="preserve"> is suggested to be used as a reference and for validation of the percentage (see guidance document for additional information)</t>
    </r>
  </si>
  <si>
    <t>General Overhead Costs of Entire Facility: Total</t>
  </si>
  <si>
    <t>General Operational Costs of the Reactor: Total</t>
  </si>
  <si>
    <t>Processing Waste Management (if applicable)</t>
  </si>
  <si>
    <t>Processing Waste Final Disposal (if applicable)</t>
  </si>
  <si>
    <r>
      <t>Identified Specific</t>
    </r>
    <r>
      <rPr>
        <b/>
        <vertAlign val="superscript"/>
        <sz val="11"/>
        <color theme="1"/>
        <rFont val="Calibri"/>
        <family val="2"/>
        <scheme val="minor"/>
      </rPr>
      <t xml:space="preserve"> 99</t>
    </r>
    <r>
      <rPr>
        <b/>
        <sz val="11"/>
        <color theme="1"/>
        <rFont val="Calibri"/>
        <family val="2"/>
        <scheme val="minor"/>
      </rPr>
      <t>Mo irradiation costs: Total</t>
    </r>
  </si>
  <si>
    <t>If irradiation services are provided outside of the core, these sites should also be included in the calculations. Beam lines should also be considered a user site.</t>
  </si>
  <si>
    <t>Determine a Quality Factor for each site based on a reactor flux measurement model</t>
  </si>
  <si>
    <t>The only exception would be when an irradiation channel contains both fuel and an irradiation target for a specific mission. In this case, the fuel costs would be directly attributed to that mission and the site would be attributed to the specific user.</t>
  </si>
  <si>
    <t>Each time period represents one cycle within the reactor and the total time period to be considered is one year</t>
  </si>
  <si>
    <t>Recognising that some irradiation sites have larger volumes than others, reactors could consider "site-equivalent" rather than specific sites. Therefore, the reactor would determine a "normal site" within its reactor and this would be the reference for a "site-equivalent"; if the reactor has an irradiation site that is three times larger than the normal site, that site would be considered three "site-equivalents" and counted as such in the "number of irradiation sites by user group"</t>
  </si>
  <si>
    <r>
      <t>m</t>
    </r>
    <r>
      <rPr>
        <vertAlign val="subscript"/>
        <sz val="11"/>
        <color theme="1"/>
        <rFont val="Calibri"/>
        <family val="2"/>
        <scheme val="minor"/>
      </rPr>
      <t>a</t>
    </r>
  </si>
  <si>
    <r>
      <t>m</t>
    </r>
    <r>
      <rPr>
        <vertAlign val="subscript"/>
        <sz val="11"/>
        <color theme="1"/>
        <rFont val="Calibri"/>
        <family val="2"/>
        <scheme val="minor"/>
      </rPr>
      <t>b</t>
    </r>
  </si>
  <si>
    <r>
      <t>m</t>
    </r>
    <r>
      <rPr>
        <vertAlign val="subscript"/>
        <sz val="11"/>
        <color theme="1"/>
        <rFont val="Calibri"/>
        <family val="2"/>
        <scheme val="minor"/>
      </rPr>
      <t>c</t>
    </r>
  </si>
  <si>
    <r>
      <t>Formula: wA = [(A</t>
    </r>
    <r>
      <rPr>
        <b/>
        <vertAlign val="subscript"/>
        <sz val="11"/>
        <color theme="1"/>
        <rFont val="Calibri"/>
        <family val="2"/>
        <scheme val="minor"/>
      </rPr>
      <t>1</t>
    </r>
    <r>
      <rPr>
        <b/>
        <sz val="11"/>
        <color theme="1"/>
        <rFont val="Calibri"/>
        <family val="2"/>
        <scheme val="minor"/>
      </rPr>
      <t>*(1-w</t>
    </r>
    <r>
      <rPr>
        <b/>
        <vertAlign val="subscript"/>
        <sz val="11"/>
        <color theme="1"/>
        <rFont val="Calibri"/>
        <family val="2"/>
        <scheme val="minor"/>
      </rPr>
      <t>1</t>
    </r>
    <r>
      <rPr>
        <b/>
        <sz val="11"/>
        <color theme="1"/>
        <rFont val="Calibri"/>
        <family val="2"/>
        <scheme val="minor"/>
      </rPr>
      <t>)*w</t>
    </r>
    <r>
      <rPr>
        <b/>
        <vertAlign val="subscript"/>
        <sz val="11"/>
        <color theme="1"/>
        <rFont val="Calibri"/>
        <family val="2"/>
        <scheme val="minor"/>
      </rPr>
      <t>2</t>
    </r>
    <r>
      <rPr>
        <b/>
        <sz val="11"/>
        <color theme="1"/>
        <rFont val="Calibri"/>
        <family val="2"/>
        <scheme val="minor"/>
      </rPr>
      <t>)/w</t>
    </r>
    <r>
      <rPr>
        <b/>
        <vertAlign val="subscript"/>
        <sz val="11"/>
        <color theme="1"/>
        <rFont val="Calibri"/>
        <family val="2"/>
        <scheme val="minor"/>
      </rPr>
      <t>3</t>
    </r>
    <r>
      <rPr>
        <b/>
        <sz val="11"/>
        <color theme="1"/>
        <rFont val="Calibri"/>
        <family val="2"/>
        <scheme val="minor"/>
      </rPr>
      <t>]+∑[(A</t>
    </r>
    <r>
      <rPr>
        <b/>
        <vertAlign val="subscript"/>
        <sz val="11"/>
        <color theme="1"/>
        <rFont val="Calibri"/>
        <family val="2"/>
        <scheme val="minor"/>
      </rPr>
      <t>2</t>
    </r>
    <r>
      <rPr>
        <b/>
        <sz val="11"/>
        <color theme="1"/>
        <rFont val="Calibri"/>
        <family val="2"/>
        <scheme val="minor"/>
      </rPr>
      <t>*[(1+i)^m]*(1-w</t>
    </r>
    <r>
      <rPr>
        <b/>
        <vertAlign val="subscript"/>
        <sz val="11"/>
        <color theme="1"/>
        <rFont val="Calibri"/>
        <family val="2"/>
        <scheme val="minor"/>
      </rPr>
      <t>4</t>
    </r>
    <r>
      <rPr>
        <b/>
        <sz val="11"/>
        <color theme="1"/>
        <rFont val="Calibri"/>
        <family val="2"/>
        <scheme val="minor"/>
      </rPr>
      <t>)*w</t>
    </r>
    <r>
      <rPr>
        <b/>
        <vertAlign val="subscript"/>
        <sz val="11"/>
        <color theme="1"/>
        <rFont val="Calibri"/>
        <family val="2"/>
        <scheme val="minor"/>
      </rPr>
      <t>5</t>
    </r>
    <r>
      <rPr>
        <b/>
        <sz val="11"/>
        <color theme="1"/>
        <rFont val="Calibri"/>
        <family val="2"/>
        <scheme val="minor"/>
      </rPr>
      <t>)/w</t>
    </r>
    <r>
      <rPr>
        <b/>
        <vertAlign val="subscript"/>
        <sz val="11"/>
        <color theme="1"/>
        <rFont val="Calibri"/>
        <family val="2"/>
        <scheme val="minor"/>
      </rPr>
      <t>6</t>
    </r>
    <r>
      <rPr>
        <b/>
        <sz val="11"/>
        <color theme="1"/>
        <rFont val="Calibri"/>
        <family val="2"/>
        <scheme val="minor"/>
      </rPr>
      <t>]</t>
    </r>
  </si>
  <si>
    <t>Final Waste Disposal Provisions</t>
  </si>
  <si>
    <r>
      <t xml:space="preserve">Determined by total hours worked by all employees </t>
    </r>
    <r>
      <rPr>
        <u/>
        <sz val="11"/>
        <color theme="1"/>
        <rFont val="Calibri"/>
        <family val="2"/>
        <scheme val="minor"/>
      </rPr>
      <t>attributable to a specific facility or mission</t>
    </r>
    <r>
      <rPr>
        <sz val="11"/>
        <color theme="1"/>
        <rFont val="Calibri"/>
        <family val="2"/>
        <scheme val="minor"/>
      </rPr>
      <t xml:space="preserve"> divided by the total hours in the work year at the facility</t>
    </r>
  </si>
  <si>
    <r>
      <t xml:space="preserve">Determined by total hours worked by all employees </t>
    </r>
    <r>
      <rPr>
        <u/>
        <sz val="11"/>
        <color theme="1"/>
        <rFont val="Calibri"/>
        <family val="2"/>
        <scheme val="minor"/>
      </rPr>
      <t xml:space="preserve">attributable to providing </t>
    </r>
    <r>
      <rPr>
        <u/>
        <vertAlign val="superscript"/>
        <sz val="11"/>
        <color theme="1"/>
        <rFont val="Calibri"/>
        <family val="2"/>
        <scheme val="minor"/>
      </rPr>
      <t>99</t>
    </r>
    <r>
      <rPr>
        <u/>
        <sz val="11"/>
        <color theme="1"/>
        <rFont val="Calibri"/>
        <family val="2"/>
        <scheme val="minor"/>
      </rPr>
      <t>Mo irradiation services</t>
    </r>
    <r>
      <rPr>
        <sz val="11"/>
        <color theme="1"/>
        <rFont val="Calibri"/>
        <family val="2"/>
        <scheme val="minor"/>
      </rPr>
      <t xml:space="preserve"> divided by the total hours in the work year at the facility</t>
    </r>
  </si>
  <si>
    <t>Cycle</t>
  </si>
  <si>
    <t>OR</t>
  </si>
  <si>
    <t>Full-cost Recovery Identification Workbook: "First-Glance" Input</t>
  </si>
  <si>
    <t>Overnight capital costs; financing costs are accounted for in the Capital worksheet</t>
  </si>
  <si>
    <t>2. Enter the current year</t>
  </si>
  <si>
    <r>
      <t xml:space="preserve">3. Enter the first year of </t>
    </r>
    <r>
      <rPr>
        <vertAlign val="superscript"/>
        <sz val="11"/>
        <color theme="1"/>
        <rFont val="Calibri"/>
        <family val="2"/>
        <scheme val="minor"/>
      </rPr>
      <t>99</t>
    </r>
    <r>
      <rPr>
        <sz val="11"/>
        <color theme="1"/>
        <rFont val="Calibri"/>
        <family val="2"/>
        <scheme val="minor"/>
      </rPr>
      <t>Mo irradiation services from your facility</t>
    </r>
  </si>
  <si>
    <t>4. Enter expected costs of the first scheduled refurbishment</t>
  </si>
  <si>
    <t>5. Enter the amortisation period (in years) for the first scheduled refurbishment</t>
  </si>
  <si>
    <t>7. Enter expected costs of the second scheduled refurbishment</t>
  </si>
  <si>
    <t>8. Enter the amortisation period (in years) for the second scheduled refurbishment</t>
  </si>
  <si>
    <t>9. Enter the timing of the start of the second refurbishment</t>
  </si>
  <si>
    <t>6. Enter the timing of the start of the first refurbishment (e.g., 11 if starts in the 11th year of operation, after 10 years of operation)</t>
  </si>
  <si>
    <t>1. Enter the capital costs of your new irradiation facility (e.g., new reactor) [Note: if your calculations only concern refurbishments, set this value to 0]</t>
  </si>
  <si>
    <t>10. Enter expected costs of the third scheduled refurbishment</t>
  </si>
  <si>
    <t>11. Enter the amortisation period (in years) for the third scheduled refurbishment</t>
  </si>
  <si>
    <t>12. Enter the timing of the start of the third refurbishment</t>
  </si>
  <si>
    <t xml:space="preserve">13. Enter the number of pay periods of the financing in a year </t>
  </si>
  <si>
    <r>
      <t xml:space="preserve">E: Specific </t>
    </r>
    <r>
      <rPr>
        <b/>
        <vertAlign val="superscript"/>
        <sz val="11"/>
        <color theme="1"/>
        <rFont val="Calibri"/>
        <family val="2"/>
        <scheme val="minor"/>
      </rPr>
      <t>99</t>
    </r>
    <r>
      <rPr>
        <b/>
        <sz val="11"/>
        <color theme="1"/>
        <rFont val="Calibri"/>
        <family val="2"/>
        <scheme val="minor"/>
      </rPr>
      <t>Mo Irradiation Costs</t>
    </r>
  </si>
  <si>
    <t>1. Enter the annual cost of general administration services</t>
  </si>
  <si>
    <t>2. Enter the annual cost of site infrastructure support</t>
  </si>
  <si>
    <t>1. Enter the annual staff costs specific to the reactor or alternative irradiation facility</t>
  </si>
  <si>
    <t>2. Enter the annual costs of the reactor fuel and general consumables</t>
  </si>
  <si>
    <t>3. Enter the annual utility costs</t>
  </si>
  <si>
    <t xml:space="preserve">4. Enter the annual costs of waste management </t>
  </si>
  <si>
    <t>7. Enter the annual costs of security</t>
  </si>
  <si>
    <r>
      <t xml:space="preserve">Identified overhead costs "at a first-glance" are identified here; some of these may be able to be attributed to specific missions upon closer reflection (accounted for in B-Overhead worksheet). Operators can add additional sub-categories that are consistent with this category; ensure that the </t>
    </r>
    <r>
      <rPr>
        <b/>
        <sz val="11"/>
        <color theme="1"/>
        <rFont val="Calibri"/>
        <family val="2"/>
        <scheme val="minor"/>
      </rPr>
      <t xml:space="preserve">Total </t>
    </r>
    <r>
      <rPr>
        <sz val="11"/>
        <color theme="1"/>
        <rFont val="Calibri"/>
        <family val="2"/>
        <scheme val="minor"/>
      </rPr>
      <t>includes the costs (by adjusting the Sum equation).</t>
    </r>
  </si>
  <si>
    <t>Identified operational costs "at a first-glance" are identified here; some of these may be able to be attributed to specific missions upon closer reflection (see C-Operational worksheet). Operators can add additional sub-categories that are consistent with this category; ensure that the Total includes the costs (by adjusting the Sum equation).</t>
  </si>
  <si>
    <t>2. Enter the annual costs of handling irradiation targets</t>
  </si>
  <si>
    <t>1. Enter the capital costs of new irradiation devices</t>
  </si>
  <si>
    <t>3. Enter any annual ex-works truck loaded costs</t>
  </si>
  <si>
    <r>
      <t xml:space="preserve">4. Enter any </t>
    </r>
    <r>
      <rPr>
        <vertAlign val="superscript"/>
        <sz val="11"/>
        <color theme="1"/>
        <rFont val="Calibri"/>
        <family val="2"/>
        <scheme val="minor"/>
      </rPr>
      <t>99</t>
    </r>
    <r>
      <rPr>
        <sz val="11"/>
        <color theme="1"/>
        <rFont val="Calibri"/>
        <family val="2"/>
        <scheme val="minor"/>
      </rPr>
      <t>Mo specific administration costs</t>
    </r>
  </si>
  <si>
    <t>1. Enter the nominal interest rate</t>
  </si>
  <si>
    <t xml:space="preserve">2. Enter the inflation rate </t>
  </si>
  <si>
    <t>1. Enter your normal production per week (in 6-day curies/week)</t>
  </si>
  <si>
    <r>
      <t xml:space="preserve">2. Enter the number of operating weeks per year where </t>
    </r>
    <r>
      <rPr>
        <vertAlign val="superscript"/>
        <sz val="11"/>
        <color theme="1"/>
        <rFont val="Calibri"/>
        <family val="2"/>
        <scheme val="minor"/>
      </rPr>
      <t>99</t>
    </r>
    <r>
      <rPr>
        <sz val="11"/>
        <color theme="1"/>
        <rFont val="Calibri"/>
        <family val="2"/>
        <scheme val="minor"/>
      </rPr>
      <t>Mo irradiation services are provided</t>
    </r>
  </si>
  <si>
    <t>3. Enter the average number of operating cycles in a year</t>
  </si>
  <si>
    <t>1. Are decommissioning obligations set by a percentage of the original infrastructure costs? (y or n)</t>
  </si>
  <si>
    <t>y</t>
  </si>
  <si>
    <r>
      <t xml:space="preserve">2. </t>
    </r>
    <r>
      <rPr>
        <u/>
        <sz val="11"/>
        <color theme="1"/>
        <rFont val="Calibri"/>
        <family val="2"/>
        <scheme val="minor"/>
      </rPr>
      <t>If yes</t>
    </r>
    <r>
      <rPr>
        <sz val="11"/>
        <color theme="1"/>
        <rFont val="Calibri"/>
        <family val="2"/>
        <scheme val="minor"/>
      </rPr>
      <t>, enter the percentage</t>
    </r>
  </si>
  <si>
    <r>
      <t>4.</t>
    </r>
    <r>
      <rPr>
        <u/>
        <sz val="11"/>
        <color theme="1"/>
        <rFont val="Calibri"/>
        <family val="2"/>
        <scheme val="minor"/>
      </rPr>
      <t xml:space="preserve"> If no</t>
    </r>
    <r>
      <rPr>
        <sz val="11"/>
        <color theme="1"/>
        <rFont val="Calibri"/>
        <family val="2"/>
        <scheme val="minor"/>
      </rPr>
      <t>, enter the necessary value of the decommissioning fund</t>
    </r>
  </si>
  <si>
    <t>3. Please enter the original infrastructure costs if different than capital costs noted above (in A), for example, for existing reactors with no new capital costs. If same as above, leave as 0.</t>
  </si>
  <si>
    <t>Normal production per week (6-day curies)</t>
  </si>
  <si>
    <t>Average number of cycles per year</t>
  </si>
  <si>
    <t>Average number of weeks operating per year</t>
  </si>
  <si>
    <t xml:space="preserve">          (index to inflation, when setting own prices)</t>
  </si>
  <si>
    <t>Full-cost Recovery Identification Workbook: Final Results</t>
  </si>
  <si>
    <t>Full-cost Recovery Identification Workbook: Capital Costs Detail</t>
  </si>
  <si>
    <t>Full-cost Recovery Identification Workbook: General Overhead Costs Detail</t>
  </si>
  <si>
    <t>Full-cost Recovery Identification Workbook: General Operational Costs Detail</t>
  </si>
  <si>
    <t>Full-cost Recovery Identification Workbook: Neutron Utilisation Model Detail</t>
  </si>
  <si>
    <t>Full-cost Recovery Identification Workbook: Decommissioning Costs Detail</t>
  </si>
  <si>
    <r>
      <t xml:space="preserve">Full-cost Recovery Identification Workbook: Specific </t>
    </r>
    <r>
      <rPr>
        <b/>
        <u/>
        <vertAlign val="superscript"/>
        <sz val="11"/>
        <color theme="1"/>
        <rFont val="Calibri"/>
        <family val="2"/>
        <scheme val="minor"/>
      </rPr>
      <t>99</t>
    </r>
    <r>
      <rPr>
        <b/>
        <u/>
        <sz val="11"/>
        <color theme="1"/>
        <rFont val="Calibri"/>
        <family val="2"/>
        <scheme val="minor"/>
      </rPr>
      <t>Mo Irradiation Costs Detail</t>
    </r>
  </si>
  <si>
    <r>
      <t xml:space="preserve">NOTE: This worksheet provides the final results of all the calculations. These calculations are based on the inputs provided in the "input information" worksheet as well as the additional category specific presented in the other worksheets.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</si>
  <si>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t>For consistency, the HLG-MR set 40 years as a reasonable amortisation period to be used to determine full-costs</t>
  </si>
  <si>
    <t>Amortisation factor (derived from inputs)</t>
  </si>
  <si>
    <t>Value of the refurbishment in the year that it is scheduled to take place, in nominal dollars</t>
  </si>
  <si>
    <r>
      <t xml:space="preserve">The percentage (estimated) of reactor and facility usage that is for irradiation and handling of </t>
    </r>
    <r>
      <rPr>
        <vertAlign val="superscript"/>
        <sz val="11"/>
        <color theme="1"/>
        <rFont val="Calibri"/>
        <family val="2"/>
        <scheme val="minor"/>
      </rPr>
      <t>99</t>
    </r>
    <r>
      <rPr>
        <sz val="11"/>
        <color theme="1"/>
        <rFont val="Calibri"/>
        <family val="2"/>
        <scheme val="minor"/>
      </rPr>
      <t>Mo targets, based on business activity (same as w</t>
    </r>
    <r>
      <rPr>
        <vertAlign val="subscript"/>
        <sz val="11"/>
        <color theme="1"/>
        <rFont val="Calibri"/>
        <family val="2"/>
        <scheme val="minor"/>
      </rPr>
      <t>2</t>
    </r>
    <r>
      <rPr>
        <sz val="11"/>
        <color theme="1"/>
        <rFont val="Calibri"/>
        <family val="2"/>
        <scheme val="minor"/>
      </rPr>
      <t xml:space="preserve"> above)</t>
    </r>
  </si>
  <si>
    <t>The value of the refurbishment in the year that it is scheduled to take place, in nominal dollars</t>
  </si>
  <si>
    <r>
      <t>2. Of w</t>
    </r>
    <r>
      <rPr>
        <vertAlign val="subscript"/>
        <sz val="11"/>
        <color theme="1"/>
        <rFont val="Calibri"/>
        <family val="2"/>
        <scheme val="minor"/>
      </rPr>
      <t>6</t>
    </r>
    <r>
      <rPr>
        <sz val="11"/>
        <color theme="1"/>
        <rFont val="Calibri"/>
        <family val="2"/>
        <scheme val="minor"/>
      </rPr>
      <t xml:space="preserve">, what value is clearly attributable to </t>
    </r>
    <r>
      <rPr>
        <vertAlign val="superscript"/>
        <sz val="11"/>
        <color theme="1"/>
        <rFont val="Calibri"/>
        <family val="2"/>
        <scheme val="minor"/>
      </rPr>
      <t>99</t>
    </r>
    <r>
      <rPr>
        <sz val="11"/>
        <color theme="1"/>
        <rFont val="Calibri"/>
        <family val="2"/>
        <scheme val="minor"/>
      </rPr>
      <t xml:space="preserve">Mo production? </t>
    </r>
  </si>
  <si>
    <r>
      <t xml:space="preserve">The percentage (estimated) of reactor and facility usage that is for irradiation and handling of </t>
    </r>
    <r>
      <rPr>
        <vertAlign val="superscript"/>
        <sz val="11"/>
        <color theme="1"/>
        <rFont val="Calibri"/>
        <family val="2"/>
        <scheme val="minor"/>
      </rPr>
      <t>99</t>
    </r>
    <r>
      <rPr>
        <sz val="11"/>
        <color theme="1"/>
        <rFont val="Calibri"/>
        <family val="2"/>
        <scheme val="minor"/>
      </rPr>
      <t>Mo targets, based on business activity</t>
    </r>
  </si>
  <si>
    <r>
      <t>Say that 50% of reactor infrastructure can be clearly defined to specific research missions (e.g. beam lines, cold source, test loops, etc, as well as components for</t>
    </r>
    <r>
      <rPr>
        <vertAlign val="superscript"/>
        <sz val="11"/>
        <color theme="1"/>
        <rFont val="Calibri"/>
        <family val="2"/>
        <scheme val="minor"/>
      </rPr>
      <t xml:space="preserve"> 99</t>
    </r>
    <r>
      <rPr>
        <sz val="11"/>
        <color theme="1"/>
        <rFont val="Calibri"/>
        <family val="2"/>
        <scheme val="minor"/>
      </rPr>
      <t>Mo production). Operator should enter an appropriate percentage for their facility.</t>
    </r>
  </si>
  <si>
    <r>
      <t xml:space="preserve">Value should be moved directly to Variable E. Operator should enter the amount of equipment and infrastructure (of the capital costs noted above) that is clearly for irrigation rigs and other specific infrastructure for </t>
    </r>
    <r>
      <rPr>
        <vertAlign val="superscript"/>
        <sz val="11"/>
        <color theme="1"/>
        <rFont val="Calibri"/>
        <family val="2"/>
        <scheme val="minor"/>
      </rPr>
      <t>99</t>
    </r>
    <r>
      <rPr>
        <sz val="11"/>
        <color theme="1"/>
        <rFont val="Calibri"/>
        <family val="2"/>
        <scheme val="minor"/>
      </rPr>
      <t xml:space="preserve">Mo production. </t>
    </r>
  </si>
  <si>
    <r>
      <t>The value of x</t>
    </r>
    <r>
      <rPr>
        <vertAlign val="subscript"/>
        <sz val="11"/>
        <color theme="1"/>
        <rFont val="Calibri"/>
        <family val="2"/>
        <scheme val="minor"/>
      </rPr>
      <t xml:space="preserve">r </t>
    </r>
    <r>
      <rPr>
        <sz val="11"/>
        <color theme="1"/>
        <rFont val="Calibri"/>
        <family val="2"/>
        <scheme val="minor"/>
      </rPr>
      <t>(calculated from inputs)</t>
    </r>
  </si>
  <si>
    <r>
      <t>The value of y</t>
    </r>
    <r>
      <rPr>
        <vertAlign val="subscript"/>
        <sz val="11"/>
        <color theme="1"/>
        <rFont val="Calibri"/>
        <family val="2"/>
        <scheme val="minor"/>
      </rPr>
      <t xml:space="preserve">m </t>
    </r>
    <r>
      <rPr>
        <sz val="11"/>
        <color theme="1"/>
        <rFont val="Calibri"/>
        <family val="2"/>
        <scheme val="minor"/>
      </rPr>
      <t>(calculated from inputs)</t>
    </r>
  </si>
  <si>
    <t>The remaining general Overhead Costs that are not clearly attributable</t>
  </si>
  <si>
    <t>4. What is the value of General Overhead Costs that can be attributed to non-reactor based missions?</t>
  </si>
  <si>
    <t>5. What is the value of General Overhead Costs that can be attributed to non-specific missions within the reactor?</t>
  </si>
  <si>
    <r>
      <t>6. What is the value of General Overhead Costs that can be clearly attributed to the provision of</t>
    </r>
    <r>
      <rPr>
        <vertAlign val="superscript"/>
        <sz val="11"/>
        <color theme="1"/>
        <rFont val="Calibri"/>
        <family val="2"/>
        <scheme val="minor"/>
      </rPr>
      <t xml:space="preserve"> 99</t>
    </r>
    <r>
      <rPr>
        <sz val="11"/>
        <color theme="1"/>
        <rFont val="Calibri"/>
        <family val="2"/>
        <scheme val="minor"/>
      </rPr>
      <t>Mo irradiation services?</t>
    </r>
  </si>
  <si>
    <r>
      <t xml:space="preserve">Use this question if General Overhead Costs have not already subtracted these costs and attributed them to specific missions; Value should be moved directly to Variable E. The operator should enter the amount of the general costs that is clearly attributed to </t>
    </r>
    <r>
      <rPr>
        <vertAlign val="superscript"/>
        <sz val="11"/>
        <color theme="1"/>
        <rFont val="Calibri"/>
        <family val="2"/>
        <scheme val="minor"/>
      </rPr>
      <t>99</t>
    </r>
    <r>
      <rPr>
        <sz val="11"/>
        <color theme="1"/>
        <rFont val="Calibri"/>
        <family val="2"/>
        <scheme val="minor"/>
      </rPr>
      <t>Mo production.</t>
    </r>
  </si>
  <si>
    <t>Use this question if General Overhead Costs have not already subtracted these costs and attributed them to specific missions. The operator should enter the amount of the general costs that is clearly attributed to reactor operations and therefore moved to variable C.</t>
  </si>
  <si>
    <t>Operational costs were identified from First-Glance Overhead Costs</t>
  </si>
  <si>
    <r>
      <t xml:space="preserve">1. What is the value of General Operational Costs of the reactor that can be attributed to specific missions other than </t>
    </r>
    <r>
      <rPr>
        <vertAlign val="superscript"/>
        <sz val="11"/>
        <color theme="1"/>
        <rFont val="Calibri"/>
        <family val="2"/>
        <scheme val="minor"/>
      </rPr>
      <t>99</t>
    </r>
    <r>
      <rPr>
        <sz val="11"/>
        <color theme="1"/>
        <rFont val="Calibri"/>
        <family val="2"/>
        <scheme val="minor"/>
      </rPr>
      <t>Mo irradiation services?</t>
    </r>
  </si>
  <si>
    <r>
      <t xml:space="preserve">2. What is the value of General Operational Costs of the reactor that can be clearly attributed to the provision of </t>
    </r>
    <r>
      <rPr>
        <vertAlign val="superscript"/>
        <sz val="11"/>
        <color theme="1"/>
        <rFont val="Calibri"/>
        <family val="2"/>
        <scheme val="minor"/>
      </rPr>
      <t>99</t>
    </r>
    <r>
      <rPr>
        <sz val="11"/>
        <color theme="1"/>
        <rFont val="Calibri"/>
        <family val="2"/>
        <scheme val="minor"/>
      </rPr>
      <t>Mo irradiation services?</t>
    </r>
  </si>
  <si>
    <t>Final unattributable General Operational Costs of the reactor</t>
  </si>
  <si>
    <t>The total output value for all users within the reactor</t>
  </si>
  <si>
    <r>
      <t>The value of y</t>
    </r>
    <r>
      <rPr>
        <vertAlign val="subscript"/>
        <sz val="11"/>
        <color theme="1"/>
        <rFont val="Calibri"/>
        <family val="2"/>
        <scheme val="minor"/>
      </rPr>
      <t>m</t>
    </r>
  </si>
  <si>
    <r>
      <t xml:space="preserve">NOTE: This worksheet may require significant operator input in order to derive the appropriate variable for neutron utilisation. The operator must adapt the example below to the number of cycles in a year at their facility, the number of sites per user, and the quality factors of each site.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Maintain "</t>
    </r>
    <r>
      <rPr>
        <vertAlign val="superscript"/>
        <sz val="11"/>
        <color theme="1"/>
        <rFont val="Calibri"/>
        <family val="2"/>
        <scheme val="minor"/>
      </rPr>
      <t>99</t>
    </r>
    <r>
      <rPr>
        <sz val="11"/>
        <color theme="1"/>
        <rFont val="Calibri"/>
        <family val="2"/>
        <scheme val="minor"/>
      </rPr>
      <t>Mo user" in its current location (in the spreadsheet), given links to other worksheets.</t>
    </r>
  </si>
  <si>
    <t>Amortisation factor (derived from inputs and set formula)</t>
  </si>
  <si>
    <t>The costs  identified from First-Glance Overhead</t>
  </si>
  <si>
    <t>The costs identified from First-Glance Capital Third Refurbishment</t>
  </si>
  <si>
    <t>The costs identified from First-Glance Capital Second Refurbishment</t>
  </si>
  <si>
    <t>The costs identified from First-Glance Capital First Refurbishments</t>
  </si>
  <si>
    <t>The costs identified from First-Glance Capital Initial Investments</t>
  </si>
  <si>
    <t>The costs identified from First-Glance Operational</t>
  </si>
  <si>
    <t>The costs identified from First-Glance Decommissioning</t>
  </si>
  <si>
    <t>Value of Decommissioning Fund in year 0</t>
  </si>
  <si>
    <t>The factor to provide the annuity value</t>
  </si>
  <si>
    <r>
      <t xml:space="preserve">NOTE: This worksheet provides the results of the specific </t>
    </r>
    <r>
      <rPr>
        <vertAlign val="superscript"/>
        <sz val="11"/>
        <color theme="1"/>
        <rFont val="Calibri"/>
        <family val="2"/>
        <scheme val="minor"/>
      </rPr>
      <t>99</t>
    </r>
    <r>
      <rPr>
        <sz val="11"/>
        <color theme="1"/>
        <rFont val="Calibri"/>
        <family val="2"/>
        <scheme val="minor"/>
      </rPr>
      <t xml:space="preserve">Mo irradiation costs component of the irradiation facility. These calculations are based on the inputs provided in the "input information" worksheet as well as the additional category specific presented in this worksheet below.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</si>
  <si>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r>
      <t xml:space="preserve">NOTE: This worksheet provides the results of the decommissioning costs component of the irradiation facility. These calculations are based on the inputs provided in the "input information" worksheet as well as the additional category specific presented in this worksheet below.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</si>
  <si>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r>
      <t xml:space="preserve">NOTE: This worksheet provides the results of the general operational costs component of the irradiation facility. These calculations are based on the inputs provided in the "input information" worksheet as well as the additional category specific presented in this worksheet below.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</si>
  <si>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r>
      <t xml:space="preserve">NOTE: This worksheet provides the results of the general overhead costs component of the irradiation facility. These calculations are based on the inputs provided in the "input information" worksheet as well as the additional category specific presented in this worksheet below.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</si>
  <si>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r>
      <t xml:space="preserve">NOTE: This worksheet provides the results of the capital costs component of the irradiation facility. These calculations are based on the inputs provided in the "input information" worksheet as well as the additional category specific presented in this worksheet below.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t>
    </r>
  </si>
  <si>
    <t>Amortisation period for each refurbishment should be the expected life of the refurbishment. In the original example, the refurbishment costs are presented as 5% of original capital, spent after each 10 years of operation (years 11, 21, 31), amortised over 10 years. Operators should enter their own values. If additional refurbishments are required, the model will have to be adjusted.</t>
  </si>
  <si>
    <t>6. Enter the annual licensing and regulatory costs</t>
  </si>
  <si>
    <r>
      <t xml:space="preserve">5. Enter any annual costs for  management of waste from </t>
    </r>
    <r>
      <rPr>
        <vertAlign val="superscript"/>
        <sz val="11"/>
        <color theme="1"/>
        <rFont val="Calibri"/>
        <family val="2"/>
        <scheme val="minor"/>
      </rPr>
      <t>99</t>
    </r>
    <r>
      <rPr>
        <sz val="11"/>
        <color theme="1"/>
        <rFont val="Calibri"/>
        <family val="2"/>
        <scheme val="minor"/>
      </rPr>
      <t>Mo extraction or purification (if applicable)</t>
    </r>
  </si>
  <si>
    <t>Capital costs of new reactor infrastructure</t>
  </si>
  <si>
    <t>End of amortisation period for refurbishment</t>
  </si>
  <si>
    <r>
      <t>Accounting for financing costs, this establishes the amount needed to be paid annually to funder, w</t>
    </r>
    <r>
      <rPr>
        <vertAlign val="subscript"/>
        <sz val="11"/>
        <color theme="1"/>
        <rFont val="Calibri"/>
        <family val="2"/>
        <scheme val="minor"/>
      </rPr>
      <t>6</t>
    </r>
    <r>
      <rPr>
        <sz val="11"/>
        <color theme="1"/>
        <rFont val="Calibri"/>
        <family val="2"/>
        <scheme val="minor"/>
      </rPr>
      <t xml:space="preserve"> = ([(1+r/t)^(v*t)]-1))/[(r/t)*((1+(r/t))^(v*t)], where v is the amortisation period of the refurbishment and t is the number of payment periods per year. This would be derived from the expected schedule of refurbishments and their amortisation period. Ideally, one refurbishment would be paid for before another planned refurbishment was undertaken. W</t>
    </r>
    <r>
      <rPr>
        <vertAlign val="subscript"/>
        <sz val="11"/>
        <color theme="1"/>
        <rFont val="Calibri"/>
        <family val="2"/>
        <scheme val="minor"/>
      </rPr>
      <t>6</t>
    </r>
    <r>
      <rPr>
        <sz val="11"/>
        <color theme="1"/>
        <rFont val="Calibri"/>
        <family val="2"/>
        <scheme val="minor"/>
      </rPr>
      <t xml:space="preserve"> could vary between refurbishments. For this example, see comment on refurbishment above.</t>
    </r>
  </si>
  <si>
    <r>
      <t xml:space="preserve">The output value for the </t>
    </r>
    <r>
      <rPr>
        <vertAlign val="superscript"/>
        <sz val="11"/>
        <color theme="1"/>
        <rFont val="Calibri"/>
        <family val="2"/>
        <scheme val="minor"/>
      </rPr>
      <t>99</t>
    </r>
    <r>
      <rPr>
        <sz val="11"/>
        <color theme="1"/>
        <rFont val="Calibri"/>
        <family val="2"/>
        <scheme val="minor"/>
      </rPr>
      <t>Mo irradiation "user"</t>
    </r>
  </si>
  <si>
    <t>Where a user's irradiation sites have an impact on other sites such that there is an impact on the reactor configuration (e.g., some channels kept empty to ensure proper irradiation for the user), these impacted sites should be attributed to the user.</t>
  </si>
  <si>
    <t>Formula: zD = [Dn/(1+r)n]*(1-z1)*z2*z3</t>
  </si>
  <si>
    <r>
      <t>The factor to provide the annuity value (derived fro</t>
    </r>
    <r>
      <rPr>
        <sz val="11"/>
        <rFont val="Calibri"/>
        <family val="2"/>
        <scheme val="minor"/>
      </rPr>
      <t>m inputted</t>
    </r>
    <r>
      <rPr>
        <sz val="11"/>
        <color theme="1"/>
        <rFont val="Calibri"/>
        <family val="2"/>
        <scheme val="minor"/>
      </rPr>
      <t xml:space="preserve"> values and set formula)</t>
    </r>
  </si>
  <si>
    <r>
      <t>6. Enter any annual costs or provisions for final disposal for wastes from</t>
    </r>
    <r>
      <rPr>
        <vertAlign val="superscript"/>
        <sz val="11"/>
        <color theme="1"/>
        <rFont val="Calibri"/>
        <family val="2"/>
        <scheme val="minor"/>
      </rPr>
      <t xml:space="preserve"> 99</t>
    </r>
    <r>
      <rPr>
        <sz val="11"/>
        <color theme="1"/>
        <rFont val="Calibri"/>
        <family val="2"/>
        <scheme val="minor"/>
      </rPr>
      <t>Mo extraction or purification (if applicable)</t>
    </r>
  </si>
  <si>
    <r>
      <t xml:space="preserve">Identified specific </t>
    </r>
    <r>
      <rPr>
        <vertAlign val="superscript"/>
        <sz val="11"/>
        <color theme="1"/>
        <rFont val="Calibri"/>
        <family val="2"/>
        <scheme val="minor"/>
      </rPr>
      <t>99</t>
    </r>
    <r>
      <rPr>
        <sz val="11"/>
        <color theme="1"/>
        <rFont val="Calibri"/>
        <family val="2"/>
        <scheme val="minor"/>
      </rPr>
      <t>Mo irradiation costs "at a first-glance" are identified here;  however, given attribution to specific missions from other sections, this amount will end up being higher (see E-99Mo Specific worksheet). If a reactor operator deals with processing wastes, these costs should be directly included in E. Operators can add additional sub-categories that are consistent with this category; ensure that the Total includes the costs (by adjusting the Sum equation). If a specific capital cost is included in part A above, do not include it here as well; it will be picked up in additional questions on the A-Capital worksheet.</t>
    </r>
  </si>
  <si>
    <t>A fuel channel would be considered an unused site as the costs of the fuel is already calculated as a separate cost item and the site is not available for other purposes. The cost would be divided among the various users using the variable y.</t>
  </si>
  <si>
    <t>5. Enter the annual provisions set aside for final waste disposal, or a direct cost if available</t>
  </si>
  <si>
    <t>1. What is the percentage of ancillary equipment and related infrastructure that is clearly attributable to specific missions?</t>
  </si>
  <si>
    <t>1. What is the percentage of the refurbishment ancillary equipment and related infrastructure that is clearly attributable to specific missions?</t>
  </si>
  <si>
    <t>If any additional sub-categories were identified on the "input information" worksheet, they will be included in the total but not shown in this subcost list</t>
  </si>
  <si>
    <t>Outage reserve capacity (ORC) is considered to be a user, not an unused site. The costs of the ORC should be fully recovered through contractual agreements with processors who are paying for ORC.</t>
  </si>
  <si>
    <r>
      <t xml:space="preserve">Use this question if General Operational Costs have not already subtracted these costs and attributed them to specific missions. The operator should enter the amount of the general costs that is clearly attributed to specific missions other than </t>
    </r>
    <r>
      <rPr>
        <vertAlign val="superscript"/>
        <sz val="11"/>
        <color theme="1"/>
        <rFont val="Calibri"/>
        <family val="2"/>
        <scheme val="minor"/>
      </rPr>
      <t>99</t>
    </r>
    <r>
      <rPr>
        <sz val="11"/>
        <color theme="1"/>
        <rFont val="Calibri"/>
        <family val="2"/>
        <scheme val="minor"/>
      </rPr>
      <t>Mo irradiation services; these would then be attributed to those other missions in their full-cost recovery calculations.</t>
    </r>
  </si>
  <si>
    <r>
      <t>Use this question if General Operational Costs of the reactor have not already subtracted these costs and attributed them to specific missions; Value should be moved directly to Variable E. The operator should enter the amount of the general costs that is clearly attributed to 99Mo irradiation services</t>
    </r>
    <r>
      <rPr>
        <sz val="11"/>
        <color theme="1"/>
        <rFont val="Calibri"/>
        <family val="2"/>
        <scheme val="minor"/>
      </rPr>
      <t>.</t>
    </r>
  </si>
  <si>
    <r>
      <t>The operator should enter the percentage of ancillary equipment and related infrastructure that is clearly attributed to specific missions (e.g. beam lines, cold source, test loops, etc, as well as components for</t>
    </r>
    <r>
      <rPr>
        <vertAlign val="superscript"/>
        <sz val="11"/>
        <color theme="1"/>
        <rFont val="Calibri"/>
        <family val="2"/>
        <scheme val="minor"/>
      </rPr>
      <t xml:space="preserve"> 99</t>
    </r>
    <r>
      <rPr>
        <sz val="11"/>
        <color theme="1"/>
        <rFont val="Calibri"/>
        <family val="2"/>
        <scheme val="minor"/>
      </rPr>
      <t>Mo production)</t>
    </r>
  </si>
  <si>
    <r>
      <t xml:space="preserve">This workbook has been developed to aid reactor and alternative technology operators identify their full costs associated with the provision of irradiation services for </t>
    </r>
    <r>
      <rPr>
        <vertAlign val="superscript"/>
        <sz val="11"/>
        <color theme="1"/>
        <rFont val="Calibri"/>
        <family val="2"/>
        <scheme val="minor"/>
      </rPr>
      <t>99</t>
    </r>
    <r>
      <rPr>
        <sz val="11"/>
        <color theme="1"/>
        <rFont val="Calibri"/>
        <family val="2"/>
        <scheme val="minor"/>
      </rPr>
      <t xml:space="preserve">Mo production. The workbook is a tool to accompany the guidance document, which provides additional information on the categories and the methodology; the document can be found at www.oecd-nea.org/med-radio. This worksheet is the main input sheet for operators. The following sheets provide the separate components and require some additional input from operators. </t>
    </r>
    <r>
      <rPr>
        <i/>
        <sz val="11"/>
        <color theme="1"/>
        <rFont val="Calibri"/>
        <family val="2"/>
        <scheme val="minor"/>
      </rPr>
      <t>Original values</t>
    </r>
    <r>
      <rPr>
        <sz val="11"/>
        <color theme="1"/>
        <rFont val="Calibri"/>
        <family val="2"/>
        <scheme val="minor"/>
      </rPr>
      <t xml:space="preserve"> presented are an example and in no way should be construed as representing accurate values. Operators should enter their own values in every green box. Although the currency symbol presented is Euros, any currency can be used. All orange cells are locked (except in the neutron utilisation worksheet) to protect the integrity of the formulas and calculations; if operators need to adjust the formulas, please contact the NEA HLG-MR Secretariat for the password.</t>
    </r>
  </si>
</sst>
</file>

<file path=xl/styles.xml><?xml version="1.0" encoding="utf-8"?>
<styleSheet xmlns="http://schemas.openxmlformats.org/spreadsheetml/2006/main">
  <numFmts count="5">
    <numFmt numFmtId="44" formatCode="_(&quot;€&quot;* #,##0.00_);_(&quot;€&quot;* \(#,##0.00\);_(&quot;€&quot;* &quot;-&quot;??_);_(@_)"/>
    <numFmt numFmtId="164" formatCode="&quot;€&quot;#,##0.00"/>
    <numFmt numFmtId="165" formatCode="0.000%"/>
    <numFmt numFmtId="166" formatCode="0.0000000"/>
    <numFmt numFmtId="167" formatCode="0.0"/>
  </numFmts>
  <fonts count="18">
    <font>
      <sz val="11"/>
      <color theme="1"/>
      <name val="Calibri"/>
      <family val="2"/>
      <scheme val="minor"/>
    </font>
    <font>
      <b/>
      <sz val="11"/>
      <color theme="1"/>
      <name val="Calibri"/>
      <family val="2"/>
      <scheme val="minor"/>
    </font>
    <font>
      <sz val="10"/>
      <name val="Arial"/>
      <family val="2"/>
    </font>
    <font>
      <u/>
      <sz val="11"/>
      <color theme="1"/>
      <name val="Calibri"/>
      <family val="2"/>
      <scheme val="minor"/>
    </font>
    <font>
      <vertAlign val="superscript"/>
      <sz val="11"/>
      <color theme="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sz val="11"/>
      <name val="Calibri"/>
      <family val="2"/>
      <scheme val="minor"/>
    </font>
    <font>
      <b/>
      <sz val="11"/>
      <color theme="1"/>
      <name val="Calibri"/>
      <family val="2"/>
    </font>
    <font>
      <u/>
      <vertAlign val="subscript"/>
      <sz val="11"/>
      <color theme="1"/>
      <name val="Calibri"/>
      <family val="2"/>
      <scheme val="minor"/>
    </font>
    <font>
      <u/>
      <vertAlign val="superscript"/>
      <sz val="11"/>
      <color theme="1"/>
      <name val="Calibri"/>
      <family val="2"/>
      <scheme val="minor"/>
    </font>
    <font>
      <b/>
      <u/>
      <vertAlign val="superscript"/>
      <sz val="11"/>
      <color theme="1"/>
      <name val="Calibri"/>
      <family val="2"/>
      <scheme val="minor"/>
    </font>
    <font>
      <b/>
      <vertAlign val="subscript"/>
      <sz val="11"/>
      <color theme="1"/>
      <name val="Calibri"/>
      <family val="2"/>
    </font>
    <font>
      <b/>
      <vertAlign val="superscript"/>
      <sz val="11"/>
      <color theme="1"/>
      <name val="Calibri"/>
      <family val="2"/>
      <scheme val="minor"/>
    </font>
    <font>
      <b/>
      <vertAlign val="superscript"/>
      <sz val="11"/>
      <color theme="1"/>
      <name val="Calibri"/>
      <family val="2"/>
    </font>
    <font>
      <i/>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C000"/>
        <bgColor indexed="64"/>
      </patternFill>
    </fill>
  </fills>
  <borders count="32">
    <border>
      <left/>
      <right/>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2" fillId="0" borderId="0"/>
    <xf numFmtId="9" fontId="5" fillId="0" borderId="0" applyFont="0" applyFill="0" applyBorder="0" applyAlignment="0" applyProtection="0"/>
  </cellStyleXfs>
  <cellXfs count="347">
    <xf numFmtId="0" fontId="0" fillId="0" borderId="0" xfId="0"/>
    <xf numFmtId="0" fontId="0" fillId="0" borderId="0" xfId="0" applyBorder="1"/>
    <xf numFmtId="0" fontId="0" fillId="0" borderId="2" xfId="0" applyBorder="1"/>
    <xf numFmtId="0" fontId="0" fillId="0" borderId="7" xfId="0" applyBorder="1"/>
    <xf numFmtId="0" fontId="0" fillId="0" borderId="0" xfId="0" applyAlignment="1">
      <alignment wrapText="1"/>
    </xf>
    <xf numFmtId="164" fontId="0" fillId="0" borderId="0" xfId="0" applyNumberFormat="1"/>
    <xf numFmtId="0" fontId="1" fillId="0" borderId="0" xfId="0" applyFont="1"/>
    <xf numFmtId="0" fontId="0" fillId="0" borderId="0" xfId="0" applyBorder="1"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Border="1" applyAlignment="1">
      <alignment horizontal="left"/>
    </xf>
    <xf numFmtId="0" fontId="3" fillId="0" borderId="0" xfId="0" applyFont="1" applyAlignment="1">
      <alignment vertical="top" wrapText="1"/>
    </xf>
    <xf numFmtId="0" fontId="0" fillId="0" borderId="0" xfId="0" applyBorder="1" applyAlignment="1">
      <alignment horizontal="left" vertical="center" wrapText="1"/>
    </xf>
    <xf numFmtId="0" fontId="0" fillId="0" borderId="0" xfId="0" applyBorder="1" applyAlignment="1">
      <alignment vertical="center" wrapText="1"/>
    </xf>
    <xf numFmtId="0" fontId="3" fillId="0" borderId="0" xfId="0" applyFont="1" applyAlignment="1"/>
    <xf numFmtId="0" fontId="0" fillId="0" borderId="0" xfId="0" applyBorder="1" applyAlignment="1">
      <alignment vertical="center"/>
    </xf>
    <xf numFmtId="0" fontId="8" fillId="0" borderId="0" xfId="0" applyFont="1"/>
    <xf numFmtId="164" fontId="0" fillId="0" borderId="0" xfId="0" applyNumberFormat="1" applyBorder="1" applyAlignment="1">
      <alignment wrapText="1"/>
    </xf>
    <xf numFmtId="4" fontId="0" fillId="0" borderId="0" xfId="0" applyNumberFormat="1" applyBorder="1" applyAlignment="1">
      <alignment wrapText="1"/>
    </xf>
    <xf numFmtId="4" fontId="0" fillId="0" borderId="0" xfId="0" applyNumberFormat="1" applyBorder="1"/>
    <xf numFmtId="0" fontId="1" fillId="0" borderId="0" xfId="0" applyFont="1" applyBorder="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Border="1" applyAlignment="1">
      <alignment wrapText="1"/>
    </xf>
    <xf numFmtId="0" fontId="0" fillId="0" borderId="0" xfId="0" quotePrefix="1" applyAlignment="1">
      <alignment vertical="center" wrapText="1"/>
    </xf>
    <xf numFmtId="0" fontId="0" fillId="0" borderId="0" xfId="0" applyAlignment="1">
      <alignment vertical="center" wrapText="1"/>
    </xf>
    <xf numFmtId="164" fontId="0" fillId="0" borderId="0" xfId="0" applyNumberFormat="1" applyFill="1" applyBorder="1"/>
    <xf numFmtId="0" fontId="0" fillId="0" borderId="5" xfId="0" applyFill="1" applyBorder="1" applyAlignment="1">
      <alignment vertical="center" wrapText="1"/>
    </xf>
    <xf numFmtId="0" fontId="0" fillId="0" borderId="0" xfId="0" applyBorder="1" applyAlignment="1"/>
    <xf numFmtId="0" fontId="6" fillId="0" borderId="0" xfId="0" applyFont="1" applyAlignment="1">
      <alignment horizontal="center" vertical="center"/>
    </xf>
    <xf numFmtId="0" fontId="0" fillId="0" borderId="0" xfId="0" applyFill="1" applyBorder="1"/>
    <xf numFmtId="0" fontId="1" fillId="0" borderId="0" xfId="0" applyFont="1" applyFill="1" applyBorder="1"/>
    <xf numFmtId="164" fontId="0" fillId="0" borderId="0" xfId="0" applyNumberFormat="1" applyFill="1" applyBorder="1" applyAlignment="1">
      <alignment vertical="center"/>
    </xf>
    <xf numFmtId="0" fontId="1" fillId="0" borderId="0" xfId="0" applyFont="1" applyFill="1"/>
    <xf numFmtId="0" fontId="8" fillId="0" borderId="0" xfId="0" applyFont="1" applyFill="1"/>
    <xf numFmtId="0" fontId="1" fillId="0" borderId="0" xfId="0" applyFont="1" applyBorder="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164" fontId="0" fillId="0" borderId="0" xfId="2" applyNumberFormat="1" applyFont="1" applyFill="1" applyAlignment="1">
      <alignment horizontal="center" vertical="center"/>
    </xf>
    <xf numFmtId="0" fontId="0" fillId="0" borderId="0" xfId="0" applyFill="1"/>
    <xf numFmtId="164" fontId="0" fillId="0" borderId="0" xfId="0" applyNumberFormat="1" applyFill="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3" fillId="0" borderId="0" xfId="0" applyFont="1" applyAlignment="1">
      <alignment wrapText="1"/>
    </xf>
    <xf numFmtId="9" fontId="0" fillId="0" borderId="0" xfId="2" applyFont="1" applyBorder="1"/>
    <xf numFmtId="0" fontId="0" fillId="0" borderId="5" xfId="0" applyBorder="1" applyAlignment="1">
      <alignment horizontal="center"/>
    </xf>
    <xf numFmtId="0" fontId="0" fillId="0" borderId="6" xfId="0" applyBorder="1" applyAlignment="1">
      <alignment horizontal="center"/>
    </xf>
    <xf numFmtId="0" fontId="0" fillId="3" borderId="8" xfId="0" applyFill="1" applyBorder="1"/>
    <xf numFmtId="164" fontId="0" fillId="3" borderId="0" xfId="0" applyNumberFormat="1" applyFill="1" applyAlignment="1">
      <alignment horizontal="center" vertical="center"/>
    </xf>
    <xf numFmtId="0" fontId="0" fillId="3" borderId="0" xfId="0" applyNumberFormat="1" applyFill="1" applyAlignment="1">
      <alignment horizontal="center" vertical="center"/>
    </xf>
    <xf numFmtId="9" fontId="0" fillId="3" borderId="0" xfId="2" applyFont="1" applyFill="1" applyAlignment="1">
      <alignment horizontal="center" vertical="center"/>
    </xf>
    <xf numFmtId="10" fontId="0" fillId="3" borderId="0" xfId="2" applyNumberFormat="1" applyFont="1" applyFill="1" applyAlignment="1">
      <alignment horizontal="center" vertical="center"/>
    </xf>
    <xf numFmtId="0" fontId="0" fillId="3" borderId="0" xfId="2" applyNumberFormat="1" applyFont="1" applyFill="1" applyAlignment="1">
      <alignment horizontal="center" vertical="center"/>
    </xf>
    <xf numFmtId="165" fontId="0" fillId="3" borderId="0" xfId="2" applyNumberFormat="1" applyFont="1" applyFill="1" applyAlignment="1">
      <alignment horizontal="center" vertical="center"/>
    </xf>
    <xf numFmtId="10" fontId="0" fillId="3" borderId="0" xfId="0" applyNumberFormat="1" applyFill="1" applyAlignment="1">
      <alignment horizontal="center" vertical="center"/>
    </xf>
    <xf numFmtId="0" fontId="0" fillId="0" borderId="0" xfId="2" applyNumberFormat="1" applyFont="1" applyFill="1" applyAlignment="1">
      <alignment horizontal="center" vertical="center" wrapText="1"/>
    </xf>
    <xf numFmtId="0" fontId="0" fillId="0" borderId="0" xfId="0" applyNumberFormat="1" applyFill="1" applyAlignment="1">
      <alignment horizontal="center" vertical="center" wrapText="1"/>
    </xf>
    <xf numFmtId="0" fontId="0" fillId="3" borderId="0" xfId="2" applyNumberFormat="1" applyFont="1" applyFill="1" applyAlignment="1">
      <alignment horizontal="center" vertical="center" wrapText="1"/>
    </xf>
    <xf numFmtId="0" fontId="0" fillId="3" borderId="0" xfId="0" applyNumberFormat="1" applyFill="1" applyAlignment="1">
      <alignment horizontal="center" vertical="center" wrapText="1"/>
    </xf>
    <xf numFmtId="164" fontId="0" fillId="3" borderId="0" xfId="2" applyNumberFormat="1" applyFont="1" applyFill="1" applyAlignment="1">
      <alignment horizontal="center" vertical="center"/>
    </xf>
    <xf numFmtId="164" fontId="0" fillId="3" borderId="0" xfId="2" applyNumberFormat="1" applyFont="1" applyFill="1" applyAlignment="1">
      <alignment horizontal="center" vertical="center" wrapText="1"/>
    </xf>
    <xf numFmtId="166" fontId="0" fillId="3" borderId="0" xfId="2" applyNumberFormat="1" applyFont="1" applyFill="1" applyAlignment="1">
      <alignment horizontal="center" vertical="center" wrapText="1"/>
    </xf>
    <xf numFmtId="164" fontId="0" fillId="3" borderId="0" xfId="0" applyNumberFormat="1" applyFill="1" applyAlignment="1">
      <alignment horizontal="center" vertical="center" wrapText="1"/>
    </xf>
    <xf numFmtId="166" fontId="0" fillId="0" borderId="0" xfId="2" applyNumberFormat="1" applyFont="1" applyFill="1" applyAlignment="1">
      <alignment horizontal="center" vertical="center" wrapText="1"/>
    </xf>
    <xf numFmtId="0" fontId="0" fillId="3" borderId="0" xfId="0" applyNumberFormat="1" applyFill="1" applyAlignment="1">
      <alignment horizontal="center"/>
    </xf>
    <xf numFmtId="164" fontId="0" fillId="3" borderId="0" xfId="0" applyNumberFormat="1" applyFill="1" applyAlignment="1">
      <alignment horizontal="center"/>
    </xf>
    <xf numFmtId="0" fontId="0" fillId="0" borderId="0" xfId="0" applyFill="1" applyAlignment="1">
      <alignment vertical="center" wrapText="1"/>
    </xf>
    <xf numFmtId="0" fontId="0" fillId="0" borderId="0" xfId="2" applyNumberFormat="1" applyFont="1" applyFill="1" applyAlignment="1">
      <alignment horizontal="center" vertical="center"/>
    </xf>
    <xf numFmtId="0" fontId="0" fillId="0" borderId="0" xfId="0" applyFill="1" applyBorder="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xf>
    <xf numFmtId="0" fontId="0" fillId="0" borderId="0" xfId="0" applyFill="1" applyBorder="1" applyAlignment="1">
      <alignment horizontal="left" vertical="center" wrapText="1"/>
    </xf>
    <xf numFmtId="0" fontId="0" fillId="0" borderId="0" xfId="0" applyFont="1" applyAlignment="1">
      <alignment vertical="top" wrapText="1"/>
    </xf>
    <xf numFmtId="0" fontId="0" fillId="0" borderId="0" xfId="0" applyFill="1" applyBorder="1" applyAlignment="1">
      <alignment horizontal="left" vertical="center" wrapText="1"/>
    </xf>
    <xf numFmtId="0" fontId="0" fillId="3" borderId="22" xfId="0" applyFill="1" applyBorder="1" applyAlignment="1">
      <alignment wrapText="1"/>
    </xf>
    <xf numFmtId="0" fontId="0" fillId="3" borderId="15" xfId="0" applyFill="1" applyBorder="1" applyAlignment="1">
      <alignment wrapText="1"/>
    </xf>
    <xf numFmtId="0" fontId="0" fillId="3" borderId="23" xfId="0" applyFill="1" applyBorder="1" applyAlignment="1">
      <alignment wrapText="1"/>
    </xf>
    <xf numFmtId="164" fontId="0" fillId="3" borderId="15" xfId="0" applyNumberFormat="1" applyFill="1" applyBorder="1" applyAlignment="1">
      <alignment wrapText="1"/>
    </xf>
    <xf numFmtId="164" fontId="0" fillId="3" borderId="23" xfId="0" applyNumberFormat="1" applyFill="1" applyBorder="1" applyAlignment="1">
      <alignment wrapText="1"/>
    </xf>
    <xf numFmtId="0" fontId="0" fillId="3" borderId="1" xfId="0" applyFill="1" applyBorder="1" applyAlignment="1">
      <alignment wrapText="1"/>
    </xf>
    <xf numFmtId="0" fontId="0" fillId="3" borderId="0" xfId="0" applyFill="1" applyBorder="1" applyAlignment="1">
      <alignment wrapText="1"/>
    </xf>
    <xf numFmtId="0" fontId="0" fillId="3" borderId="17" xfId="0" applyFill="1" applyBorder="1" applyAlignment="1">
      <alignment wrapText="1"/>
    </xf>
    <xf numFmtId="0" fontId="0" fillId="3" borderId="1" xfId="0" applyFill="1" applyBorder="1"/>
    <xf numFmtId="0" fontId="0" fillId="3" borderId="0" xfId="0" applyFill="1" applyBorder="1"/>
    <xf numFmtId="164" fontId="0" fillId="3" borderId="0" xfId="0" applyNumberFormat="1" applyFill="1" applyBorder="1"/>
    <xf numFmtId="164" fontId="0" fillId="3" borderId="17" xfId="0" applyNumberFormat="1" applyFill="1" applyBorder="1"/>
    <xf numFmtId="164" fontId="0" fillId="3" borderId="0" xfId="0" applyNumberFormat="1" applyFill="1" applyBorder="1" applyAlignment="1">
      <alignment vertical="center"/>
    </xf>
    <xf numFmtId="164" fontId="0" fillId="3" borderId="17" xfId="0" applyNumberFormat="1" applyFill="1" applyBorder="1" applyAlignment="1">
      <alignment horizontal="center"/>
    </xf>
    <xf numFmtId="0" fontId="0" fillId="3" borderId="9" xfId="0" applyFill="1" applyBorder="1"/>
    <xf numFmtId="164" fontId="0" fillId="3" borderId="9" xfId="0" applyNumberFormat="1" applyFill="1" applyBorder="1" applyAlignment="1">
      <alignment vertical="center"/>
    </xf>
    <xf numFmtId="164" fontId="0" fillId="3" borderId="9" xfId="0" applyNumberFormat="1" applyFill="1" applyBorder="1"/>
    <xf numFmtId="164" fontId="0" fillId="3" borderId="18" xfId="0" applyNumberFormat="1" applyFill="1" applyBorder="1" applyAlignment="1">
      <alignment horizontal="center"/>
    </xf>
    <xf numFmtId="0" fontId="0" fillId="3" borderId="17" xfId="0" applyFill="1" applyBorder="1"/>
    <xf numFmtId="164" fontId="0" fillId="3" borderId="18" xfId="0" applyNumberFormat="1" applyFill="1" applyBorder="1"/>
    <xf numFmtId="0" fontId="0" fillId="3" borderId="4" xfId="0" applyFill="1" applyBorder="1" applyAlignment="1">
      <alignment wrapText="1"/>
    </xf>
    <xf numFmtId="0" fontId="0" fillId="3" borderId="5" xfId="0" applyFill="1" applyBorder="1" applyAlignment="1">
      <alignment wrapText="1"/>
    </xf>
    <xf numFmtId="0" fontId="0" fillId="3" borderId="24" xfId="0" applyFill="1" applyBorder="1" applyAlignment="1">
      <alignment wrapText="1"/>
    </xf>
    <xf numFmtId="0" fontId="0" fillId="3" borderId="30" xfId="0" applyFill="1" applyBorder="1" applyAlignment="1">
      <alignment wrapText="1"/>
    </xf>
    <xf numFmtId="0" fontId="0" fillId="3" borderId="11" xfId="0" applyFill="1" applyBorder="1" applyAlignment="1">
      <alignment wrapText="1"/>
    </xf>
    <xf numFmtId="0" fontId="0" fillId="3" borderId="31" xfId="0" applyFill="1" applyBorder="1" applyAlignment="1">
      <alignment wrapText="1"/>
    </xf>
    <xf numFmtId="4" fontId="0" fillId="3" borderId="15" xfId="0" applyNumberFormat="1" applyFill="1" applyBorder="1" applyAlignment="1">
      <alignment wrapText="1"/>
    </xf>
    <xf numFmtId="4" fontId="0" fillId="3" borderId="23" xfId="0" applyNumberFormat="1" applyFill="1" applyBorder="1" applyAlignment="1">
      <alignment wrapText="1"/>
    </xf>
    <xf numFmtId="4" fontId="0" fillId="3" borderId="17" xfId="0" applyNumberFormat="1" applyFill="1" applyBorder="1"/>
    <xf numFmtId="4" fontId="0" fillId="3" borderId="18" xfId="0" applyNumberFormat="1" applyFill="1" applyBorder="1"/>
    <xf numFmtId="0" fontId="1" fillId="0" borderId="0" xfId="0" applyFont="1" applyAlignment="1">
      <alignment vertical="center"/>
    </xf>
    <xf numFmtId="164" fontId="1" fillId="3" borderId="0" xfId="0" applyNumberFormat="1" applyFont="1" applyFill="1" applyAlignment="1">
      <alignment horizontal="center" vertical="center"/>
    </xf>
    <xf numFmtId="0" fontId="0" fillId="0" borderId="0" xfId="0" applyFill="1" applyAlignment="1">
      <alignment wrapText="1"/>
    </xf>
    <xf numFmtId="0" fontId="0" fillId="3" borderId="0" xfId="0" applyFill="1" applyAlignment="1">
      <alignment horizontal="center"/>
    </xf>
    <xf numFmtId="0" fontId="0" fillId="0" borderId="0" xfId="0" applyAlignment="1">
      <alignment horizontal="center"/>
    </xf>
    <xf numFmtId="9" fontId="0" fillId="3" borderId="3" xfId="2" applyFont="1" applyFill="1" applyBorder="1"/>
    <xf numFmtId="0" fontId="1" fillId="0" borderId="0" xfId="0" applyFont="1" applyBorder="1" applyAlignment="1">
      <alignment horizontal="center"/>
    </xf>
    <xf numFmtId="9" fontId="0" fillId="2" borderId="0" xfId="2" applyFont="1" applyFill="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9" fontId="0" fillId="2" borderId="0" xfId="2" applyFont="1" applyFill="1" applyAlignment="1" applyProtection="1">
      <alignment horizontal="center" vertical="center"/>
      <protection locked="0"/>
    </xf>
    <xf numFmtId="9" fontId="0" fillId="2" borderId="0" xfId="2" applyNumberFormat="1" applyFont="1" applyFill="1" applyAlignment="1" applyProtection="1">
      <alignment horizontal="center" vertical="center"/>
      <protection locked="0"/>
    </xf>
    <xf numFmtId="44" fontId="0" fillId="2" borderId="0" xfId="2" applyNumberFormat="1" applyFont="1" applyFill="1" applyAlignment="1" applyProtection="1">
      <alignment horizontal="center" vertical="center"/>
      <protection locked="0"/>
    </xf>
    <xf numFmtId="9" fontId="0" fillId="3" borderId="0" xfId="0" applyNumberFormat="1" applyFill="1" applyAlignment="1" applyProtection="1">
      <alignment horizontal="center" vertical="center"/>
    </xf>
    <xf numFmtId="9" fontId="0" fillId="3" borderId="0" xfId="0" applyNumberFormat="1" applyFill="1" applyAlignment="1">
      <alignment horizontal="center" vertical="center"/>
    </xf>
    <xf numFmtId="0" fontId="0" fillId="2" borderId="0" xfId="2" applyNumberFormat="1" applyFont="1" applyFill="1" applyAlignment="1" applyProtection="1">
      <alignment horizontal="center" vertical="center" wrapText="1"/>
      <protection locked="0"/>
    </xf>
    <xf numFmtId="0" fontId="0" fillId="2" borderId="0" xfId="0" applyNumberFormat="1" applyFill="1" applyAlignment="1" applyProtection="1">
      <alignment horizontal="center" vertical="center" wrapText="1"/>
      <protection locked="0"/>
    </xf>
    <xf numFmtId="0" fontId="0" fillId="2" borderId="0" xfId="2" applyNumberFormat="1" applyFont="1" applyFill="1" applyAlignment="1" applyProtection="1">
      <alignment horizontal="center" vertical="center"/>
      <protection locked="0"/>
    </xf>
    <xf numFmtId="164" fontId="0" fillId="2" borderId="0" xfId="0" applyNumberFormat="1" applyFill="1" applyAlignment="1" applyProtection="1">
      <alignment horizontal="center" vertical="center"/>
      <protection locked="0"/>
    </xf>
    <xf numFmtId="0" fontId="0" fillId="2" borderId="2" xfId="0" applyFill="1" applyBorder="1" applyProtection="1">
      <protection locked="0"/>
    </xf>
    <xf numFmtId="0" fontId="0" fillId="2" borderId="0" xfId="0" applyFill="1" applyBorder="1" applyProtection="1">
      <protection locked="0"/>
    </xf>
    <xf numFmtId="0" fontId="1" fillId="3" borderId="0" xfId="0" applyFont="1" applyFill="1" applyBorder="1" applyProtection="1">
      <protection locked="0"/>
    </xf>
    <xf numFmtId="167" fontId="0" fillId="3" borderId="3" xfId="0" applyNumberFormat="1" applyFill="1" applyBorder="1" applyProtection="1">
      <protection locked="0"/>
    </xf>
    <xf numFmtId="0" fontId="0" fillId="0" borderId="7" xfId="0" applyBorder="1" applyProtection="1">
      <protection locked="0"/>
    </xf>
    <xf numFmtId="1" fontId="1" fillId="3" borderId="5" xfId="0" applyNumberFormat="1" applyFont="1" applyFill="1" applyBorder="1" applyProtection="1">
      <protection locked="0"/>
    </xf>
    <xf numFmtId="167" fontId="0" fillId="3" borderId="6" xfId="0" applyNumberFormat="1" applyFill="1" applyBorder="1" applyProtection="1">
      <protection locked="0"/>
    </xf>
    <xf numFmtId="0" fontId="0" fillId="0" borderId="0" xfId="0" applyProtection="1">
      <protection locked="0"/>
    </xf>
    <xf numFmtId="0" fontId="0" fillId="0" borderId="2" xfId="0" applyBorder="1" applyProtection="1">
      <protection locked="0"/>
    </xf>
    <xf numFmtId="0" fontId="0" fillId="0" borderId="0" xfId="0" applyBorder="1" applyProtection="1">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167" fontId="0" fillId="2" borderId="0" xfId="0" applyNumberFormat="1" applyFill="1" applyBorder="1" applyProtection="1">
      <protection locked="0"/>
    </xf>
    <xf numFmtId="167" fontId="1" fillId="3" borderId="0" xfId="0" applyNumberFormat="1" applyFont="1" applyFill="1" applyBorder="1" applyProtection="1">
      <protection locked="0"/>
    </xf>
    <xf numFmtId="0" fontId="0" fillId="0" borderId="0" xfId="0" applyAlignment="1">
      <alignment horizontal="center"/>
    </xf>
    <xf numFmtId="0" fontId="0" fillId="3" borderId="0" xfId="0" applyFill="1" applyBorder="1" applyAlignment="1">
      <alignment horizontal="center" wrapText="1"/>
    </xf>
    <xf numFmtId="0" fontId="0" fillId="3" borderId="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7" xfId="0" applyFill="1" applyBorder="1" applyAlignment="1">
      <alignment horizontal="center" vertical="center" wrapText="1"/>
    </xf>
    <xf numFmtId="10" fontId="0" fillId="3" borderId="0" xfId="2" applyNumberFormat="1" applyFont="1" applyFill="1" applyBorder="1"/>
    <xf numFmtId="0" fontId="0" fillId="0" borderId="0" xfId="0" applyAlignment="1">
      <alignment vertical="top"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8" fillId="0" borderId="0" xfId="0" applyFont="1" applyProtection="1">
      <protection locked="0"/>
    </xf>
    <xf numFmtId="0" fontId="0" fillId="2" borderId="27" xfId="0" applyFill="1" applyBorder="1" applyProtection="1">
      <protection locked="0"/>
    </xf>
    <xf numFmtId="0" fontId="0" fillId="0" borderId="28" xfId="0" quotePrefix="1" applyBorder="1" applyProtection="1">
      <protection locked="0"/>
    </xf>
    <xf numFmtId="0" fontId="0" fillId="0" borderId="29" xfId="0" applyBorder="1" applyProtection="1">
      <protection locked="0"/>
    </xf>
    <xf numFmtId="0" fontId="0" fillId="3" borderId="8" xfId="0" applyFill="1" applyBorder="1" applyProtection="1">
      <protection locked="0"/>
    </xf>
    <xf numFmtId="0" fontId="0" fillId="0" borderId="9" xfId="0" quotePrefix="1" applyBorder="1" applyProtection="1">
      <protection locked="0"/>
    </xf>
    <xf numFmtId="0" fontId="0" fillId="0" borderId="18" xfId="0" applyBorder="1"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0" xfId="0" quotePrefix="1" applyFill="1" applyBorder="1" applyProtection="1">
      <protection locked="0"/>
    </xf>
    <xf numFmtId="0" fontId="0" fillId="0" borderId="0" xfId="0" applyFill="1" applyBorder="1" applyAlignment="1" applyProtection="1">
      <alignment horizontal="left" vertical="center" wrapText="1"/>
      <protection locked="0"/>
    </xf>
    <xf numFmtId="0" fontId="1" fillId="0" borderId="0" xfId="0" applyFont="1" applyProtection="1">
      <protection locked="0"/>
    </xf>
    <xf numFmtId="0" fontId="8" fillId="0" borderId="0" xfId="0" applyFont="1" applyAlignment="1" applyProtection="1">
      <alignment horizontal="center"/>
      <protection locked="0"/>
    </xf>
    <xf numFmtId="0" fontId="0" fillId="0" borderId="0" xfId="0" applyBorder="1" applyAlignment="1" applyProtection="1">
      <alignment vertical="center" wrapText="1"/>
      <protection locked="0"/>
    </xf>
    <xf numFmtId="44" fontId="0" fillId="0" borderId="0" xfId="0" applyNumberFormat="1" applyProtection="1">
      <protection locked="0"/>
    </xf>
    <xf numFmtId="0" fontId="0" fillId="2" borderId="0" xfId="0" applyFill="1" applyAlignment="1" applyProtection="1">
      <alignment horizontal="center"/>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2" borderId="0" xfId="0" applyNumberFormat="1" applyFill="1" applyAlignment="1" applyProtection="1">
      <alignment horizontal="center" vertical="center"/>
      <protection locked="0"/>
    </xf>
    <xf numFmtId="0" fontId="0" fillId="0" borderId="0" xfId="0" applyFill="1" applyAlignment="1" applyProtection="1">
      <alignment horizontal="center"/>
      <protection locked="0"/>
    </xf>
    <xf numFmtId="164" fontId="0" fillId="0" borderId="0" xfId="0" applyNumberFormat="1" applyAlignment="1" applyProtection="1">
      <alignment horizontal="center" vertical="center"/>
      <protection locked="0"/>
    </xf>
    <xf numFmtId="0" fontId="0" fillId="3" borderId="0" xfId="0" applyFill="1" applyProtection="1">
      <protection locked="0"/>
    </xf>
    <xf numFmtId="164" fontId="0" fillId="3" borderId="0" xfId="0" applyNumberFormat="1" applyFill="1" applyAlignment="1" applyProtection="1">
      <alignment horizontal="center" vertical="center"/>
      <protection locked="0"/>
    </xf>
    <xf numFmtId="164" fontId="0" fillId="0" borderId="0" xfId="0" applyNumberFormat="1" applyFill="1" applyAlignment="1" applyProtection="1">
      <alignment horizontal="center" vertical="center"/>
      <protection locked="0"/>
    </xf>
    <xf numFmtId="0" fontId="0" fillId="0" borderId="0" xfId="0" applyFill="1" applyBorder="1" applyAlignment="1" applyProtection="1">
      <alignment horizontal="left" wrapText="1"/>
      <protection locked="0"/>
    </xf>
    <xf numFmtId="44" fontId="0" fillId="0" borderId="0" xfId="0" applyNumberFormat="1" applyFill="1" applyProtection="1">
      <protection locked="0"/>
    </xf>
    <xf numFmtId="164" fontId="0" fillId="2" borderId="0" xfId="2" applyNumberFormat="1" applyFont="1" applyFill="1" applyAlignment="1" applyProtection="1">
      <alignment horizontal="center" vertical="center"/>
      <protection locked="0"/>
    </xf>
    <xf numFmtId="9" fontId="0" fillId="0" borderId="0" xfId="2" applyFont="1" applyFill="1" applyAlignment="1" applyProtection="1">
      <alignment horizontal="center" vertical="center"/>
      <protection locked="0"/>
    </xf>
    <xf numFmtId="0" fontId="0" fillId="0" borderId="0"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165" fontId="0" fillId="0" borderId="0" xfId="2" applyNumberFormat="1" applyFont="1" applyFill="1" applyAlignment="1" applyProtection="1">
      <alignment horizontal="center"/>
      <protection locked="0"/>
    </xf>
    <xf numFmtId="0" fontId="0" fillId="3" borderId="0" xfId="0" applyFill="1" applyAlignment="1" applyProtection="1">
      <alignment horizontal="center" vertical="center"/>
    </xf>
    <xf numFmtId="165" fontId="0" fillId="3" borderId="0" xfId="2" applyNumberFormat="1" applyFont="1" applyFill="1" applyAlignment="1" applyProtection="1">
      <alignment horizontal="center"/>
    </xf>
    <xf numFmtId="0" fontId="0" fillId="0" borderId="10"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10"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0" fillId="0" borderId="12" xfId="0" applyFill="1" applyBorder="1" applyAlignment="1" applyProtection="1">
      <alignment horizontal="left" wrapText="1"/>
      <protection locked="0"/>
    </xf>
    <xf numFmtId="0" fontId="0" fillId="0" borderId="2"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7"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0" fillId="0" borderId="0" xfId="0" applyAlignment="1" applyProtection="1">
      <alignment horizontal="left" wrapText="1"/>
      <protection locked="0"/>
    </xf>
    <xf numFmtId="164" fontId="0" fillId="2" borderId="0" xfId="0" applyNumberFormat="1" applyFill="1" applyAlignment="1" applyProtection="1">
      <alignment horizontal="center" vertical="center"/>
      <protection locked="0"/>
    </xf>
    <xf numFmtId="0" fontId="0" fillId="0" borderId="0" xfId="0" applyAlignment="1" applyProtection="1">
      <alignment horizontal="left" vertical="center" wrapText="1"/>
      <protection locked="0"/>
    </xf>
    <xf numFmtId="0" fontId="0" fillId="2" borderId="0" xfId="0" applyFill="1" applyAlignment="1" applyProtection="1">
      <alignment horizontal="center" vertical="center"/>
      <protection locked="0"/>
    </xf>
    <xf numFmtId="0" fontId="0" fillId="0" borderId="0" xfId="0" applyFill="1" applyAlignment="1" applyProtection="1">
      <alignment horizontal="left" wrapText="1"/>
      <protection locked="0"/>
    </xf>
    <xf numFmtId="164" fontId="0" fillId="2" borderId="0" xfId="2" applyNumberFormat="1" applyFont="1" applyFill="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2" borderId="0" xfId="0" applyNumberFormat="1" applyFill="1" applyAlignment="1" applyProtection="1">
      <alignment horizontal="center" vertical="center"/>
      <protection locked="0"/>
    </xf>
    <xf numFmtId="0" fontId="8" fillId="0" borderId="0" xfId="0" applyFont="1" applyAlignment="1" applyProtection="1">
      <alignment horizontal="center"/>
      <protection locked="0"/>
    </xf>
    <xf numFmtId="0" fontId="1" fillId="0" borderId="0" xfId="0" applyFont="1" applyAlignment="1" applyProtection="1">
      <alignment horizontal="center"/>
      <protection locked="0"/>
    </xf>
    <xf numFmtId="0" fontId="0" fillId="0" borderId="0" xfId="0" applyAlignment="1" applyProtection="1">
      <alignment horizontal="left"/>
      <protection locked="0"/>
    </xf>
    <xf numFmtId="0" fontId="0" fillId="0" borderId="27" xfId="0" applyFill="1" applyBorder="1" applyAlignment="1" applyProtection="1">
      <alignment horizontal="left" vertical="center" wrapText="1"/>
      <protection locked="0"/>
    </xf>
    <xf numFmtId="0" fontId="0" fillId="0" borderId="28" xfId="0"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0" xfId="0" applyFill="1" applyAlignment="1" applyProtection="1">
      <alignment horizontal="center" vertical="center"/>
      <protection locked="0"/>
    </xf>
    <xf numFmtId="0" fontId="1" fillId="3" borderId="19" xfId="0" applyFont="1" applyFill="1" applyBorder="1" applyAlignment="1">
      <alignment horizontal="center" wrapText="1"/>
    </xf>
    <xf numFmtId="0" fontId="1" fillId="3" borderId="20" xfId="0" applyFont="1" applyFill="1" applyBorder="1" applyAlignment="1">
      <alignment horizontal="center" wrapText="1"/>
    </xf>
    <xf numFmtId="0" fontId="1" fillId="3" borderId="21" xfId="0" applyFont="1" applyFill="1" applyBorder="1" applyAlignment="1">
      <alignment horizontal="center" wrapText="1"/>
    </xf>
    <xf numFmtId="0" fontId="0" fillId="3" borderId="1" xfId="0" applyFill="1" applyBorder="1" applyAlignment="1">
      <alignment wrapText="1"/>
    </xf>
    <xf numFmtId="0" fontId="0" fillId="3" borderId="0" xfId="0" applyFill="1" applyBorder="1" applyAlignment="1">
      <alignment wrapText="1"/>
    </xf>
    <xf numFmtId="0" fontId="1" fillId="0" borderId="25" xfId="0" applyFont="1" applyBorder="1" applyAlignment="1">
      <alignment horizontal="left"/>
    </xf>
    <xf numFmtId="0" fontId="1" fillId="0" borderId="13" xfId="0" applyFont="1" applyBorder="1" applyAlignment="1">
      <alignment horizontal="left"/>
    </xf>
    <xf numFmtId="0" fontId="1" fillId="0" borderId="26" xfId="0" applyFont="1" applyBorder="1" applyAlignment="1">
      <alignment horizontal="left"/>
    </xf>
    <xf numFmtId="0" fontId="0" fillId="0" borderId="27" xfId="0" applyNumberFormat="1" applyBorder="1" applyAlignment="1">
      <alignment horizontal="left" vertical="center" wrapText="1"/>
    </xf>
    <xf numFmtId="0" fontId="0" fillId="0" borderId="28" xfId="0" applyNumberFormat="1" applyFont="1" applyBorder="1" applyAlignment="1">
      <alignment horizontal="left" vertical="center" wrapText="1"/>
    </xf>
    <xf numFmtId="0" fontId="0" fillId="0" borderId="29"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0" fillId="0" borderId="0" xfId="0" applyNumberFormat="1" applyFont="1" applyBorder="1" applyAlignment="1">
      <alignment horizontal="left" vertical="center" wrapText="1"/>
    </xf>
    <xf numFmtId="0" fontId="0" fillId="0" borderId="17" xfId="0" applyNumberFormat="1" applyFont="1" applyBorder="1" applyAlignment="1">
      <alignment horizontal="left" vertical="center" wrapText="1"/>
    </xf>
    <xf numFmtId="0" fontId="0" fillId="0" borderId="8" xfId="0" applyNumberFormat="1" applyFont="1" applyBorder="1" applyAlignment="1">
      <alignment horizontal="left" vertical="center" wrapText="1"/>
    </xf>
    <xf numFmtId="0" fontId="0" fillId="0" borderId="9" xfId="0" applyNumberFormat="1" applyFont="1" applyBorder="1" applyAlignment="1">
      <alignment horizontal="left" vertical="center" wrapText="1"/>
    </xf>
    <xf numFmtId="0" fontId="0" fillId="0" borderId="18" xfId="0" applyNumberFormat="1" applyFont="1" applyBorder="1" applyAlignment="1">
      <alignment horizontal="left" vertical="center" wrapText="1"/>
    </xf>
    <xf numFmtId="0" fontId="1" fillId="3" borderId="27" xfId="0" applyFont="1" applyFill="1" applyBorder="1" applyAlignment="1">
      <alignment horizontal="center"/>
    </xf>
    <xf numFmtId="0" fontId="1" fillId="3" borderId="28" xfId="0" applyFont="1" applyFill="1" applyBorder="1" applyAlignment="1">
      <alignment horizontal="center"/>
    </xf>
    <xf numFmtId="0" fontId="1" fillId="3" borderId="29" xfId="0" applyFont="1" applyFill="1" applyBorder="1" applyAlignment="1">
      <alignment horizontal="center"/>
    </xf>
    <xf numFmtId="0" fontId="0" fillId="3" borderId="8" xfId="0" applyFill="1" applyBorder="1" applyAlignment="1">
      <alignment horizontal="left" wrapText="1"/>
    </xf>
    <xf numFmtId="0" fontId="0" fillId="0" borderId="9" xfId="0" applyBorder="1" applyAlignment="1">
      <alignment horizontal="left" wrapText="1"/>
    </xf>
    <xf numFmtId="0" fontId="0" fillId="0" borderId="18" xfId="0" applyBorder="1" applyAlignment="1">
      <alignment horizontal="left"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NumberFormat="1" applyBorder="1" applyAlignment="1">
      <alignment horizontal="left" wrapText="1"/>
    </xf>
    <xf numFmtId="0" fontId="0" fillId="0" borderId="11" xfId="0" applyNumberFormat="1" applyBorder="1" applyAlignment="1">
      <alignment horizontal="left" wrapText="1"/>
    </xf>
    <xf numFmtId="0" fontId="0" fillId="0" borderId="12" xfId="0" applyNumberFormat="1" applyBorder="1" applyAlignment="1">
      <alignment horizontal="left" wrapText="1"/>
    </xf>
    <xf numFmtId="0" fontId="0" fillId="0" borderId="2" xfId="0" applyNumberFormat="1" applyBorder="1" applyAlignment="1">
      <alignment horizontal="left" wrapText="1"/>
    </xf>
    <xf numFmtId="0" fontId="0" fillId="0" borderId="0" xfId="0" applyNumberFormat="1" applyBorder="1" applyAlignment="1">
      <alignment horizontal="left" wrapText="1"/>
    </xf>
    <xf numFmtId="0" fontId="0" fillId="0" borderId="3" xfId="0" applyNumberFormat="1" applyBorder="1" applyAlignment="1">
      <alignment horizontal="left" wrapText="1"/>
    </xf>
    <xf numFmtId="0" fontId="0" fillId="0" borderId="7" xfId="0" applyNumberFormat="1" applyBorder="1" applyAlignment="1">
      <alignment horizontal="left" wrapText="1"/>
    </xf>
    <xf numFmtId="0" fontId="0" fillId="0" borderId="5" xfId="0" applyNumberFormat="1" applyBorder="1" applyAlignment="1">
      <alignment horizontal="left" wrapText="1"/>
    </xf>
    <xf numFmtId="0" fontId="0" fillId="0" borderId="6" xfId="0" applyNumberFormat="1" applyBorder="1" applyAlignment="1">
      <alignment horizontal="left"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0" xfId="0" applyNumberFormat="1" applyFill="1" applyBorder="1" applyAlignment="1">
      <alignment horizontal="left" wrapText="1"/>
    </xf>
    <xf numFmtId="0" fontId="0" fillId="0" borderId="11" xfId="0" applyNumberFormat="1" applyFont="1" applyFill="1" applyBorder="1" applyAlignment="1">
      <alignment horizontal="left" wrapText="1"/>
    </xf>
    <xf numFmtId="0" fontId="0" fillId="0" borderId="12" xfId="0" applyNumberFormat="1" applyFont="1" applyFill="1" applyBorder="1" applyAlignment="1">
      <alignment horizontal="left" wrapText="1"/>
    </xf>
    <xf numFmtId="0" fontId="0" fillId="0" borderId="2" xfId="0" applyNumberFormat="1" applyFont="1" applyFill="1" applyBorder="1" applyAlignment="1">
      <alignment horizontal="left" wrapText="1"/>
    </xf>
    <xf numFmtId="0" fontId="0" fillId="0" borderId="0" xfId="0" applyNumberFormat="1" applyFont="1" applyFill="1" applyBorder="1" applyAlignment="1">
      <alignment horizontal="left" wrapText="1"/>
    </xf>
    <xf numFmtId="0" fontId="0" fillId="0" borderId="3" xfId="0" applyNumberFormat="1" applyFont="1" applyFill="1" applyBorder="1" applyAlignment="1">
      <alignment horizontal="left" wrapText="1"/>
    </xf>
    <xf numFmtId="0" fontId="0" fillId="0" borderId="7" xfId="0" applyNumberFormat="1" applyFont="1" applyFill="1" applyBorder="1" applyAlignment="1">
      <alignment horizontal="left" wrapText="1"/>
    </xf>
    <xf numFmtId="0" fontId="0" fillId="0" borderId="5" xfId="0" applyNumberFormat="1" applyFont="1" applyFill="1" applyBorder="1" applyAlignment="1">
      <alignment horizontal="left" wrapText="1"/>
    </xf>
    <xf numFmtId="0" fontId="0" fillId="0" borderId="6" xfId="0" applyNumberFormat="1" applyFont="1" applyFill="1" applyBorder="1" applyAlignment="1">
      <alignment horizontal="left"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0" borderId="15" xfId="0" quotePrefix="1" applyBorder="1" applyAlignment="1">
      <alignment horizontal="left" vertical="center" wrapText="1"/>
    </xf>
    <xf numFmtId="0" fontId="0" fillId="0" borderId="16" xfId="0" quotePrefix="1" applyBorder="1" applyAlignment="1">
      <alignment horizontal="left" vertical="center" wrapText="1"/>
    </xf>
    <xf numFmtId="0" fontId="0" fillId="0" borderId="10" xfId="0" applyBorder="1" applyAlignment="1">
      <alignment horizontal="left" wrapText="1"/>
    </xf>
    <xf numFmtId="0" fontId="0" fillId="0" borderId="11" xfId="0" quotePrefix="1" applyBorder="1" applyAlignment="1">
      <alignment horizontal="left" wrapText="1"/>
    </xf>
    <xf numFmtId="0" fontId="0" fillId="0" borderId="12" xfId="0" quotePrefix="1" applyBorder="1" applyAlignment="1">
      <alignment horizontal="left" wrapText="1"/>
    </xf>
    <xf numFmtId="0" fontId="0" fillId="0" borderId="7" xfId="0" quotePrefix="1" applyBorder="1" applyAlignment="1">
      <alignment horizontal="left" wrapText="1"/>
    </xf>
    <xf numFmtId="0" fontId="0" fillId="0" borderId="5" xfId="0" quotePrefix="1" applyBorder="1" applyAlignment="1">
      <alignment horizontal="left" wrapText="1"/>
    </xf>
    <xf numFmtId="0" fontId="0" fillId="0" borderId="6" xfId="0" quotePrefix="1" applyBorder="1" applyAlignment="1">
      <alignment horizontal="left"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2" xfId="0" applyFill="1" applyBorder="1" applyAlignment="1">
      <alignment horizontal="left" vertical="center" wrapText="1"/>
    </xf>
    <xf numFmtId="0" fontId="0" fillId="0" borderId="0" xfId="0"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1" xfId="0" applyBorder="1" applyAlignment="1">
      <alignment horizontal="left" wrapText="1"/>
    </xf>
    <xf numFmtId="0" fontId="0" fillId="0" borderId="12" xfId="0" applyBorder="1" applyAlignment="1">
      <alignment horizontal="left" wrapText="1"/>
    </xf>
    <xf numFmtId="0" fontId="0" fillId="0" borderId="2" xfId="0" applyBorder="1" applyAlignment="1">
      <alignment horizontal="left" wrapText="1"/>
    </xf>
    <xf numFmtId="0" fontId="0" fillId="0" borderId="0" xfId="0" applyBorder="1" applyAlignment="1">
      <alignment horizontal="left" wrapText="1"/>
    </xf>
    <xf numFmtId="0" fontId="0" fillId="0" borderId="3"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10"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0" fontId="0" fillId="0" borderId="1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3" xfId="0" applyNumberFormat="1" applyFill="1" applyBorder="1" applyAlignment="1">
      <alignment horizontal="left" vertical="center" wrapText="1"/>
    </xf>
    <xf numFmtId="0" fontId="0" fillId="0" borderId="7" xfId="0" applyNumberFormat="1" applyFill="1" applyBorder="1" applyAlignment="1">
      <alignment horizontal="left" vertical="center" wrapText="1"/>
    </xf>
    <xf numFmtId="0" fontId="0" fillId="0" borderId="5" xfId="0" applyNumberFormat="1" applyFill="1" applyBorder="1" applyAlignment="1">
      <alignment horizontal="left" vertical="center" wrapText="1"/>
    </xf>
    <xf numFmtId="0" fontId="0" fillId="0" borderId="6" xfId="0" applyNumberFormat="1" applyFill="1" applyBorder="1" applyAlignment="1">
      <alignment horizontal="left" vertical="center" wrapText="1"/>
    </xf>
    <xf numFmtId="0" fontId="0" fillId="0" borderId="3" xfId="0" applyFill="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0" fillId="0" borderId="15" xfId="0" quotePrefix="1" applyBorder="1" applyAlignment="1">
      <alignment horizontal="left" wrapText="1"/>
    </xf>
    <xf numFmtId="0" fontId="0" fillId="0" borderId="16" xfId="0" quotePrefix="1" applyBorder="1" applyAlignment="1">
      <alignment horizontal="left" wrapText="1"/>
    </xf>
  </cellXfs>
  <cellStyles count="3">
    <cellStyle name="Normal" xfId="0" builtinId="0"/>
    <cellStyle name="Normal 3"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O91"/>
  <sheetViews>
    <sheetView tabSelected="1" zoomScaleNormal="100" workbookViewId="0">
      <selection activeCell="A4" sqref="A4:O10"/>
    </sheetView>
  </sheetViews>
  <sheetFormatPr defaultRowHeight="15"/>
  <cols>
    <col min="1" max="5" width="9.140625" style="133"/>
    <col min="6" max="6" width="11" style="133" customWidth="1"/>
    <col min="7" max="7" width="19" style="133" customWidth="1"/>
    <col min="8" max="8" width="4.85546875" style="133" customWidth="1"/>
    <col min="9" max="10" width="9.140625" style="133"/>
    <col min="11" max="11" width="9.7109375" style="133" customWidth="1"/>
    <col min="12" max="16384" width="9.140625" style="133"/>
  </cols>
  <sheetData>
    <row r="1" spans="1:15">
      <c r="A1" s="150" t="s">
        <v>181</v>
      </c>
      <c r="I1" s="151"/>
      <c r="J1" s="152" t="s">
        <v>97</v>
      </c>
      <c r="K1" s="153"/>
    </row>
    <row r="2" spans="1:15" ht="15.75" thickBot="1">
      <c r="A2" s="133" t="str">
        <f>"Note: all values should be in real current (e.g., "&amp;G18&amp;") currency"</f>
        <v>Note: all values should be in real current (e.g., 2012) currency</v>
      </c>
      <c r="I2" s="154"/>
      <c r="J2" s="155" t="s">
        <v>98</v>
      </c>
      <c r="K2" s="156"/>
    </row>
    <row r="3" spans="1:15" s="157" customFormat="1" ht="15.75" thickBot="1">
      <c r="I3" s="158"/>
      <c r="J3" s="159"/>
      <c r="K3" s="158"/>
    </row>
    <row r="4" spans="1:15" s="157" customFormat="1" ht="15" customHeight="1">
      <c r="A4" s="227" t="s">
        <v>292</v>
      </c>
      <c r="B4" s="228"/>
      <c r="C4" s="228"/>
      <c r="D4" s="228"/>
      <c r="E4" s="228"/>
      <c r="F4" s="228"/>
      <c r="G4" s="228"/>
      <c r="H4" s="228"/>
      <c r="I4" s="228"/>
      <c r="J4" s="228"/>
      <c r="K4" s="228"/>
      <c r="L4" s="228"/>
      <c r="M4" s="228"/>
      <c r="N4" s="228"/>
      <c r="O4" s="229"/>
    </row>
    <row r="5" spans="1:15" s="157" customFormat="1">
      <c r="A5" s="230"/>
      <c r="B5" s="194"/>
      <c r="C5" s="194"/>
      <c r="D5" s="194"/>
      <c r="E5" s="194"/>
      <c r="F5" s="194"/>
      <c r="G5" s="194"/>
      <c r="H5" s="194"/>
      <c r="I5" s="194"/>
      <c r="J5" s="194"/>
      <c r="K5" s="194"/>
      <c r="L5" s="194"/>
      <c r="M5" s="194"/>
      <c r="N5" s="194"/>
      <c r="O5" s="231"/>
    </row>
    <row r="6" spans="1:15" s="157" customFormat="1">
      <c r="A6" s="230"/>
      <c r="B6" s="194"/>
      <c r="C6" s="194"/>
      <c r="D6" s="194"/>
      <c r="E6" s="194"/>
      <c r="F6" s="194"/>
      <c r="G6" s="194"/>
      <c r="H6" s="194"/>
      <c r="I6" s="194"/>
      <c r="J6" s="194"/>
      <c r="K6" s="194"/>
      <c r="L6" s="194"/>
      <c r="M6" s="194"/>
      <c r="N6" s="194"/>
      <c r="O6" s="231"/>
    </row>
    <row r="7" spans="1:15" s="157" customFormat="1">
      <c r="A7" s="230"/>
      <c r="B7" s="194"/>
      <c r="C7" s="194"/>
      <c r="D7" s="194"/>
      <c r="E7" s="194"/>
      <c r="F7" s="194"/>
      <c r="G7" s="194"/>
      <c r="H7" s="194"/>
      <c r="I7" s="194"/>
      <c r="J7" s="194"/>
      <c r="K7" s="194"/>
      <c r="L7" s="194"/>
      <c r="M7" s="194"/>
      <c r="N7" s="194"/>
      <c r="O7" s="231"/>
    </row>
    <row r="8" spans="1:15" s="157" customFormat="1">
      <c r="A8" s="230"/>
      <c r="B8" s="194"/>
      <c r="C8" s="194"/>
      <c r="D8" s="194"/>
      <c r="E8" s="194"/>
      <c r="F8" s="194"/>
      <c r="G8" s="194"/>
      <c r="H8" s="194"/>
      <c r="I8" s="194"/>
      <c r="J8" s="194"/>
      <c r="K8" s="194"/>
      <c r="L8" s="194"/>
      <c r="M8" s="194"/>
      <c r="N8" s="194"/>
      <c r="O8" s="231"/>
    </row>
    <row r="9" spans="1:15" s="157" customFormat="1">
      <c r="A9" s="230"/>
      <c r="B9" s="194"/>
      <c r="C9" s="194"/>
      <c r="D9" s="194"/>
      <c r="E9" s="194"/>
      <c r="F9" s="194"/>
      <c r="G9" s="194"/>
      <c r="H9" s="194"/>
      <c r="I9" s="194"/>
      <c r="J9" s="194"/>
      <c r="K9" s="194"/>
      <c r="L9" s="194"/>
      <c r="M9" s="194"/>
      <c r="N9" s="194"/>
      <c r="O9" s="231"/>
    </row>
    <row r="10" spans="1:15" s="157" customFormat="1" ht="15.75" thickBot="1">
      <c r="A10" s="232"/>
      <c r="B10" s="233"/>
      <c r="C10" s="233"/>
      <c r="D10" s="233"/>
      <c r="E10" s="233"/>
      <c r="F10" s="233"/>
      <c r="G10" s="233"/>
      <c r="H10" s="233"/>
      <c r="I10" s="233"/>
      <c r="J10" s="233"/>
      <c r="K10" s="233"/>
      <c r="L10" s="233"/>
      <c r="M10" s="233"/>
      <c r="N10" s="233"/>
      <c r="O10" s="234"/>
    </row>
    <row r="11" spans="1:15" s="157" customFormat="1">
      <c r="A11" s="160"/>
      <c r="B11" s="160"/>
      <c r="C11" s="160"/>
      <c r="D11" s="160"/>
      <c r="E11" s="160"/>
      <c r="F11" s="160"/>
      <c r="G11" s="160"/>
      <c r="H11" s="160"/>
      <c r="I11" s="160"/>
      <c r="J11" s="160"/>
      <c r="K11" s="160"/>
      <c r="L11" s="160"/>
      <c r="M11" s="160"/>
      <c r="N11" s="160"/>
      <c r="O11" s="160"/>
    </row>
    <row r="12" spans="1:15">
      <c r="A12" s="224" t="s">
        <v>20</v>
      </c>
      <c r="B12" s="225"/>
      <c r="C12" s="225"/>
      <c r="D12" s="225"/>
      <c r="E12" s="225"/>
      <c r="F12" s="161"/>
      <c r="G12" s="162" t="s">
        <v>21</v>
      </c>
      <c r="H12" s="162"/>
      <c r="I12" s="224" t="s">
        <v>22</v>
      </c>
      <c r="J12" s="224"/>
      <c r="K12" s="224"/>
      <c r="L12" s="224"/>
      <c r="M12" s="224"/>
      <c r="N12" s="224"/>
      <c r="O12" s="224"/>
    </row>
    <row r="14" spans="1:15" ht="15" customHeight="1">
      <c r="A14" s="161" t="s">
        <v>4</v>
      </c>
      <c r="I14" s="135"/>
      <c r="J14" s="163"/>
      <c r="K14" s="163"/>
      <c r="L14" s="163"/>
      <c r="M14" s="163"/>
      <c r="N14" s="163"/>
      <c r="O14" s="163"/>
    </row>
    <row r="15" spans="1:15" ht="15" customHeight="1">
      <c r="A15" s="210" t="s">
        <v>191</v>
      </c>
      <c r="B15" s="210"/>
      <c r="C15" s="210"/>
      <c r="D15" s="210"/>
      <c r="E15" s="210"/>
      <c r="F15" s="210"/>
      <c r="G15" s="209">
        <v>435000000</v>
      </c>
      <c r="H15" s="164"/>
      <c r="I15" s="214" t="s">
        <v>182</v>
      </c>
      <c r="J15" s="215"/>
      <c r="K15" s="215"/>
      <c r="L15" s="215"/>
      <c r="M15" s="215"/>
      <c r="N15" s="215"/>
      <c r="O15" s="216"/>
    </row>
    <row r="16" spans="1:15" ht="32.25" customHeight="1">
      <c r="A16" s="210"/>
      <c r="B16" s="210"/>
      <c r="C16" s="210"/>
      <c r="D16" s="210"/>
      <c r="E16" s="210"/>
      <c r="F16" s="210"/>
      <c r="G16" s="209"/>
      <c r="H16" s="164"/>
      <c r="I16" s="220"/>
      <c r="J16" s="221"/>
      <c r="K16" s="221"/>
      <c r="L16" s="221"/>
      <c r="M16" s="221"/>
      <c r="N16" s="221"/>
      <c r="O16" s="222"/>
    </row>
    <row r="17" spans="1:15" ht="31.5" customHeight="1">
      <c r="B17" s="235" t="s">
        <v>109</v>
      </c>
      <c r="C17" s="235"/>
      <c r="D17" s="235"/>
      <c r="E17" s="235"/>
      <c r="F17" s="235"/>
      <c r="G17" s="188">
        <v>40</v>
      </c>
      <c r="H17" s="164"/>
      <c r="I17" s="220" t="s">
        <v>232</v>
      </c>
      <c r="J17" s="221"/>
      <c r="K17" s="221"/>
      <c r="L17" s="221"/>
      <c r="M17" s="221"/>
      <c r="N17" s="221"/>
      <c r="O17" s="222"/>
    </row>
    <row r="18" spans="1:15">
      <c r="A18" s="226" t="s">
        <v>183</v>
      </c>
      <c r="B18" s="226"/>
      <c r="C18" s="226"/>
      <c r="D18" s="226"/>
      <c r="E18" s="226"/>
      <c r="F18" s="226"/>
      <c r="G18" s="165">
        <v>2012</v>
      </c>
      <c r="H18" s="164"/>
      <c r="I18" s="147"/>
      <c r="J18" s="148"/>
      <c r="K18" s="148"/>
      <c r="L18" s="148"/>
      <c r="M18" s="148"/>
      <c r="N18" s="148"/>
      <c r="O18" s="149"/>
    </row>
    <row r="19" spans="1:15" ht="17.25" customHeight="1">
      <c r="A19" s="208" t="s">
        <v>184</v>
      </c>
      <c r="B19" s="208"/>
      <c r="C19" s="208"/>
      <c r="D19" s="208"/>
      <c r="E19" s="208"/>
      <c r="F19" s="208"/>
      <c r="G19" s="211">
        <v>2013</v>
      </c>
      <c r="H19" s="164"/>
      <c r="I19" s="166"/>
      <c r="J19" s="167"/>
      <c r="K19" s="167"/>
      <c r="L19" s="167"/>
      <c r="M19" s="167"/>
      <c r="N19" s="167"/>
      <c r="O19" s="168"/>
    </row>
    <row r="20" spans="1:15">
      <c r="A20" s="208"/>
      <c r="B20" s="208"/>
      <c r="C20" s="208"/>
      <c r="D20" s="208"/>
      <c r="E20" s="208"/>
      <c r="F20" s="208"/>
      <c r="G20" s="211"/>
      <c r="H20" s="164"/>
      <c r="I20" s="169"/>
      <c r="J20" s="170"/>
      <c r="K20" s="170"/>
      <c r="L20" s="170"/>
      <c r="M20" s="170"/>
      <c r="N20" s="170"/>
      <c r="O20" s="171"/>
    </row>
    <row r="21" spans="1:15" ht="15" customHeight="1">
      <c r="A21" s="133" t="s">
        <v>185</v>
      </c>
      <c r="G21" s="125">
        <f>$G$15*0.05</f>
        <v>21750000</v>
      </c>
      <c r="H21" s="164"/>
      <c r="I21" s="214" t="s">
        <v>271</v>
      </c>
      <c r="J21" s="215"/>
      <c r="K21" s="215"/>
      <c r="L21" s="215"/>
      <c r="M21" s="215"/>
      <c r="N21" s="215"/>
      <c r="O21" s="216"/>
    </row>
    <row r="22" spans="1:15" ht="15" customHeight="1">
      <c r="A22" s="208" t="s">
        <v>186</v>
      </c>
      <c r="B22" s="208"/>
      <c r="C22" s="208"/>
      <c r="D22" s="208"/>
      <c r="E22" s="208"/>
      <c r="F22" s="208"/>
      <c r="G22" s="223">
        <v>10</v>
      </c>
      <c r="H22" s="164"/>
      <c r="I22" s="217"/>
      <c r="J22" s="218"/>
      <c r="K22" s="218"/>
      <c r="L22" s="218"/>
      <c r="M22" s="218"/>
      <c r="N22" s="218"/>
      <c r="O22" s="219"/>
    </row>
    <row r="23" spans="1:15" ht="15" customHeight="1">
      <c r="A23" s="208"/>
      <c r="B23" s="208"/>
      <c r="C23" s="208"/>
      <c r="D23" s="208"/>
      <c r="E23" s="208"/>
      <c r="F23" s="208"/>
      <c r="G23" s="223"/>
      <c r="H23" s="164"/>
      <c r="I23" s="217"/>
      <c r="J23" s="218"/>
      <c r="K23" s="218"/>
      <c r="L23" s="218"/>
      <c r="M23" s="218"/>
      <c r="N23" s="218"/>
      <c r="O23" s="219"/>
    </row>
    <row r="24" spans="1:15" ht="15" customHeight="1">
      <c r="A24" s="208" t="s">
        <v>190</v>
      </c>
      <c r="B24" s="208"/>
      <c r="C24" s="208"/>
      <c r="D24" s="208"/>
      <c r="E24" s="208"/>
      <c r="F24" s="208"/>
      <c r="G24" s="223">
        <v>11</v>
      </c>
      <c r="H24" s="164"/>
      <c r="I24" s="217"/>
      <c r="J24" s="218"/>
      <c r="K24" s="218"/>
      <c r="L24" s="218"/>
      <c r="M24" s="218"/>
      <c r="N24" s="218"/>
      <c r="O24" s="219"/>
    </row>
    <row r="25" spans="1:15" ht="30" customHeight="1">
      <c r="A25" s="208"/>
      <c r="B25" s="208"/>
      <c r="C25" s="208"/>
      <c r="D25" s="208"/>
      <c r="E25" s="208"/>
      <c r="F25" s="208"/>
      <c r="G25" s="223"/>
      <c r="H25" s="164"/>
      <c r="I25" s="217"/>
      <c r="J25" s="218"/>
      <c r="K25" s="218"/>
      <c r="L25" s="218"/>
      <c r="M25" s="218"/>
      <c r="N25" s="218"/>
      <c r="O25" s="219"/>
    </row>
    <row r="26" spans="1:15">
      <c r="A26" s="133" t="s">
        <v>187</v>
      </c>
      <c r="G26" s="125">
        <f t="shared" ref="G26:G30" si="0">$G$15*0.05</f>
        <v>21750000</v>
      </c>
      <c r="H26" s="164"/>
      <c r="I26" s="217"/>
      <c r="J26" s="218"/>
      <c r="K26" s="218"/>
      <c r="L26" s="218"/>
      <c r="M26" s="218"/>
      <c r="N26" s="218"/>
      <c r="O26" s="219"/>
    </row>
    <row r="27" spans="1:15">
      <c r="A27" s="208" t="s">
        <v>188</v>
      </c>
      <c r="B27" s="208"/>
      <c r="C27" s="208"/>
      <c r="D27" s="208"/>
      <c r="E27" s="208"/>
      <c r="F27" s="208"/>
      <c r="G27" s="223">
        <v>10</v>
      </c>
      <c r="H27" s="164"/>
      <c r="I27" s="217"/>
      <c r="J27" s="218"/>
      <c r="K27" s="218"/>
      <c r="L27" s="218"/>
      <c r="M27" s="218"/>
      <c r="N27" s="218"/>
      <c r="O27" s="219"/>
    </row>
    <row r="28" spans="1:15">
      <c r="A28" s="208"/>
      <c r="B28" s="208"/>
      <c r="C28" s="208"/>
      <c r="D28" s="208"/>
      <c r="E28" s="208"/>
      <c r="F28" s="208"/>
      <c r="G28" s="223"/>
      <c r="H28" s="164"/>
      <c r="I28" s="217"/>
      <c r="J28" s="218"/>
      <c r="K28" s="218"/>
      <c r="L28" s="218"/>
      <c r="M28" s="218"/>
      <c r="N28" s="218"/>
      <c r="O28" s="219"/>
    </row>
    <row r="29" spans="1:15" ht="15" customHeight="1">
      <c r="A29" s="208" t="s">
        <v>189</v>
      </c>
      <c r="B29" s="208"/>
      <c r="C29" s="208"/>
      <c r="D29" s="208"/>
      <c r="E29" s="208"/>
      <c r="F29" s="208"/>
      <c r="G29" s="172">
        <v>21</v>
      </c>
      <c r="H29" s="164"/>
      <c r="I29" s="217"/>
      <c r="J29" s="218"/>
      <c r="K29" s="218"/>
      <c r="L29" s="218"/>
      <c r="M29" s="218"/>
      <c r="N29" s="218"/>
      <c r="O29" s="219"/>
    </row>
    <row r="30" spans="1:15">
      <c r="A30" s="208" t="s">
        <v>192</v>
      </c>
      <c r="B30" s="208"/>
      <c r="C30" s="208"/>
      <c r="D30" s="208"/>
      <c r="E30" s="208"/>
      <c r="F30" s="208"/>
      <c r="G30" s="125">
        <f t="shared" si="0"/>
        <v>21750000</v>
      </c>
      <c r="H30" s="164"/>
      <c r="I30" s="217"/>
      <c r="J30" s="218"/>
      <c r="K30" s="218"/>
      <c r="L30" s="218"/>
      <c r="M30" s="218"/>
      <c r="N30" s="218"/>
      <c r="O30" s="219"/>
    </row>
    <row r="31" spans="1:15">
      <c r="A31" s="208" t="s">
        <v>193</v>
      </c>
      <c r="B31" s="208"/>
      <c r="C31" s="208"/>
      <c r="D31" s="208"/>
      <c r="E31" s="208"/>
      <c r="F31" s="208"/>
      <c r="G31" s="223">
        <v>10</v>
      </c>
      <c r="I31" s="217"/>
      <c r="J31" s="218"/>
      <c r="K31" s="218"/>
      <c r="L31" s="218"/>
      <c r="M31" s="218"/>
      <c r="N31" s="218"/>
      <c r="O31" s="219"/>
    </row>
    <row r="32" spans="1:15">
      <c r="A32" s="208"/>
      <c r="B32" s="208"/>
      <c r="C32" s="208"/>
      <c r="D32" s="208"/>
      <c r="E32" s="208"/>
      <c r="F32" s="208"/>
      <c r="G32" s="223"/>
      <c r="I32" s="217"/>
      <c r="J32" s="218"/>
      <c r="K32" s="218"/>
      <c r="L32" s="218"/>
      <c r="M32" s="218"/>
      <c r="N32" s="218"/>
      <c r="O32" s="219"/>
    </row>
    <row r="33" spans="1:15">
      <c r="A33" s="133" t="s">
        <v>194</v>
      </c>
      <c r="G33" s="172">
        <v>31</v>
      </c>
      <c r="I33" s="217"/>
      <c r="J33" s="218"/>
      <c r="K33" s="218"/>
      <c r="L33" s="218"/>
      <c r="M33" s="218"/>
      <c r="N33" s="218"/>
      <c r="O33" s="219"/>
    </row>
    <row r="34" spans="1:15">
      <c r="A34" s="133" t="s">
        <v>195</v>
      </c>
      <c r="G34" s="165">
        <v>1</v>
      </c>
      <c r="I34" s="220"/>
      <c r="J34" s="221"/>
      <c r="K34" s="221"/>
      <c r="L34" s="221"/>
      <c r="M34" s="221"/>
      <c r="N34" s="221"/>
      <c r="O34" s="222"/>
    </row>
    <row r="35" spans="1:15" s="157" customFormat="1">
      <c r="G35" s="173"/>
      <c r="I35" s="160"/>
      <c r="J35" s="160"/>
      <c r="K35" s="160"/>
      <c r="L35" s="160"/>
      <c r="M35" s="160"/>
      <c r="N35" s="160"/>
      <c r="O35" s="160"/>
    </row>
    <row r="36" spans="1:15">
      <c r="G36" s="174"/>
    </row>
    <row r="37" spans="1:15" ht="15" customHeight="1">
      <c r="A37" s="161" t="s">
        <v>5</v>
      </c>
      <c r="F37" s="175" t="s">
        <v>80</v>
      </c>
      <c r="G37" s="176">
        <f>G38+G39</f>
        <v>17000000</v>
      </c>
      <c r="I37" s="199" t="s">
        <v>204</v>
      </c>
      <c r="J37" s="200"/>
      <c r="K37" s="200"/>
      <c r="L37" s="200"/>
      <c r="M37" s="200"/>
      <c r="N37" s="200"/>
      <c r="O37" s="201"/>
    </row>
    <row r="38" spans="1:15" ht="15" customHeight="1">
      <c r="A38" s="133" t="s">
        <v>197</v>
      </c>
      <c r="G38" s="125">
        <v>15000000</v>
      </c>
      <c r="H38" s="164"/>
      <c r="I38" s="202"/>
      <c r="J38" s="203"/>
      <c r="K38" s="203"/>
      <c r="L38" s="203"/>
      <c r="M38" s="203"/>
      <c r="N38" s="203"/>
      <c r="O38" s="204"/>
    </row>
    <row r="39" spans="1:15">
      <c r="A39" s="133" t="s">
        <v>198</v>
      </c>
      <c r="G39" s="125">
        <v>2000000</v>
      </c>
      <c r="H39" s="164"/>
      <c r="I39" s="202"/>
      <c r="J39" s="203"/>
      <c r="K39" s="203"/>
      <c r="L39" s="203"/>
      <c r="M39" s="203"/>
      <c r="N39" s="203"/>
      <c r="O39" s="204"/>
    </row>
    <row r="40" spans="1:15">
      <c r="G40" s="177"/>
      <c r="H40" s="164"/>
      <c r="I40" s="202"/>
      <c r="J40" s="203"/>
      <c r="K40" s="203"/>
      <c r="L40" s="203"/>
      <c r="M40" s="203"/>
      <c r="N40" s="203"/>
      <c r="O40" s="204"/>
    </row>
    <row r="41" spans="1:15">
      <c r="G41" s="177"/>
      <c r="H41" s="164"/>
      <c r="I41" s="205"/>
      <c r="J41" s="206"/>
      <c r="K41" s="206"/>
      <c r="L41" s="206"/>
      <c r="M41" s="206"/>
      <c r="N41" s="206"/>
      <c r="O41" s="207"/>
    </row>
    <row r="42" spans="1:15">
      <c r="G42" s="177"/>
      <c r="H42" s="164"/>
      <c r="I42" s="178"/>
      <c r="J42" s="178"/>
      <c r="K42" s="178"/>
      <c r="L42" s="178"/>
      <c r="M42" s="178"/>
      <c r="N42" s="178"/>
      <c r="O42" s="178"/>
    </row>
    <row r="43" spans="1:15">
      <c r="G43" s="174"/>
    </row>
    <row r="44" spans="1:15" ht="15" customHeight="1">
      <c r="A44" s="161" t="s">
        <v>6</v>
      </c>
      <c r="F44" s="175" t="s">
        <v>80</v>
      </c>
      <c r="G44" s="176">
        <f>SUM(G45:G54)</f>
        <v>25000000</v>
      </c>
      <c r="H44" s="164"/>
      <c r="I44" s="190" t="s">
        <v>205</v>
      </c>
      <c r="J44" s="191"/>
      <c r="K44" s="191"/>
      <c r="L44" s="191"/>
      <c r="M44" s="191"/>
      <c r="N44" s="191"/>
      <c r="O44" s="192"/>
    </row>
    <row r="45" spans="1:15">
      <c r="A45" s="208" t="s">
        <v>199</v>
      </c>
      <c r="B45" s="208"/>
      <c r="C45" s="208"/>
      <c r="D45" s="208"/>
      <c r="E45" s="208"/>
      <c r="F45" s="208"/>
      <c r="G45" s="209">
        <v>5000000</v>
      </c>
      <c r="I45" s="193"/>
      <c r="J45" s="194"/>
      <c r="K45" s="194"/>
      <c r="L45" s="194"/>
      <c r="M45" s="194"/>
      <c r="N45" s="194"/>
      <c r="O45" s="195"/>
    </row>
    <row r="46" spans="1:15">
      <c r="A46" s="208"/>
      <c r="B46" s="208"/>
      <c r="C46" s="208"/>
      <c r="D46" s="208"/>
      <c r="E46" s="208"/>
      <c r="F46" s="208"/>
      <c r="G46" s="209"/>
      <c r="I46" s="193"/>
      <c r="J46" s="194"/>
      <c r="K46" s="194"/>
      <c r="L46" s="194"/>
      <c r="M46" s="194"/>
      <c r="N46" s="194"/>
      <c r="O46" s="195"/>
    </row>
    <row r="47" spans="1:15">
      <c r="A47" s="210" t="s">
        <v>200</v>
      </c>
      <c r="B47" s="210"/>
      <c r="C47" s="210"/>
      <c r="D47" s="210"/>
      <c r="E47" s="210"/>
      <c r="F47" s="210"/>
      <c r="G47" s="209">
        <v>7500000</v>
      </c>
      <c r="I47" s="193"/>
      <c r="J47" s="194"/>
      <c r="K47" s="194"/>
      <c r="L47" s="194"/>
      <c r="M47" s="194"/>
      <c r="N47" s="194"/>
      <c r="O47" s="195"/>
    </row>
    <row r="48" spans="1:15">
      <c r="A48" s="210"/>
      <c r="B48" s="210"/>
      <c r="C48" s="210"/>
      <c r="D48" s="210"/>
      <c r="E48" s="210"/>
      <c r="F48" s="210"/>
      <c r="G48" s="209"/>
      <c r="I48" s="193"/>
      <c r="J48" s="194"/>
      <c r="K48" s="194"/>
      <c r="L48" s="194"/>
      <c r="M48" s="194"/>
      <c r="N48" s="194"/>
      <c r="O48" s="195"/>
    </row>
    <row r="49" spans="1:15">
      <c r="A49" s="133" t="s">
        <v>201</v>
      </c>
      <c r="G49" s="125">
        <v>5000000</v>
      </c>
      <c r="I49" s="193"/>
      <c r="J49" s="194"/>
      <c r="K49" s="194"/>
      <c r="L49" s="194"/>
      <c r="M49" s="194"/>
      <c r="N49" s="194"/>
      <c r="O49" s="195"/>
    </row>
    <row r="50" spans="1:15">
      <c r="A50" s="133" t="s">
        <v>202</v>
      </c>
      <c r="G50" s="125">
        <v>2500000</v>
      </c>
      <c r="I50" s="193"/>
      <c r="J50" s="194"/>
      <c r="K50" s="194"/>
      <c r="L50" s="194"/>
      <c r="M50" s="194"/>
      <c r="N50" s="194"/>
      <c r="O50" s="195"/>
    </row>
    <row r="51" spans="1:15">
      <c r="A51" s="208" t="s">
        <v>284</v>
      </c>
      <c r="B51" s="208"/>
      <c r="C51" s="208"/>
      <c r="D51" s="208"/>
      <c r="E51" s="208"/>
      <c r="F51" s="208"/>
      <c r="G51" s="209">
        <v>1250000</v>
      </c>
      <c r="I51" s="193"/>
      <c r="J51" s="194"/>
      <c r="K51" s="194"/>
      <c r="L51" s="194"/>
      <c r="M51" s="194"/>
      <c r="N51" s="194"/>
      <c r="O51" s="195"/>
    </row>
    <row r="52" spans="1:15">
      <c r="A52" s="208"/>
      <c r="B52" s="208"/>
      <c r="C52" s="208"/>
      <c r="D52" s="208"/>
      <c r="E52" s="208"/>
      <c r="F52" s="208"/>
      <c r="G52" s="209"/>
      <c r="I52" s="193"/>
      <c r="J52" s="194"/>
      <c r="K52" s="194"/>
      <c r="L52" s="194"/>
      <c r="M52" s="194"/>
      <c r="N52" s="194"/>
      <c r="O52" s="195"/>
    </row>
    <row r="53" spans="1:15">
      <c r="A53" s="133" t="s">
        <v>272</v>
      </c>
      <c r="G53" s="125">
        <v>2500000</v>
      </c>
      <c r="I53" s="193"/>
      <c r="J53" s="194"/>
      <c r="K53" s="194"/>
      <c r="L53" s="194"/>
      <c r="M53" s="194"/>
      <c r="N53" s="194"/>
      <c r="O53" s="195"/>
    </row>
    <row r="54" spans="1:15">
      <c r="A54" s="133" t="s">
        <v>203</v>
      </c>
      <c r="G54" s="125">
        <v>1250000</v>
      </c>
      <c r="I54" s="196"/>
      <c r="J54" s="197"/>
      <c r="K54" s="197"/>
      <c r="L54" s="197"/>
      <c r="M54" s="197"/>
      <c r="N54" s="197"/>
      <c r="O54" s="198"/>
    </row>
    <row r="55" spans="1:15" s="157" customFormat="1">
      <c r="G55" s="177"/>
      <c r="I55" s="160"/>
      <c r="J55" s="160"/>
      <c r="K55" s="160"/>
      <c r="L55" s="160"/>
      <c r="M55" s="160"/>
      <c r="N55" s="160"/>
      <c r="O55" s="160"/>
    </row>
    <row r="56" spans="1:15">
      <c r="G56" s="174"/>
    </row>
    <row r="57" spans="1:15" ht="15" customHeight="1">
      <c r="A57" s="161" t="s">
        <v>7</v>
      </c>
      <c r="B57" s="157"/>
      <c r="G57" s="176">
        <f>IF(G58="n",G64,IF(AND(G58="y", G61=0),G15*G60, IF(AND(G58="y",G61&gt;0),G61*G60,"error")))</f>
        <v>65250000</v>
      </c>
      <c r="I57" s="214" t="str">
        <f>"This represents the  value of the decommissioning costs (including final waste disposal) in year 40 in "&amp;G18&amp;" currency. Operator must input the percentage of original infrastructure costs or set values."</f>
        <v>This represents the  value of the decommissioning costs (including final waste disposal) in year 40 in 2012 currency. Operator must input the percentage of original infrastructure costs or set values.</v>
      </c>
      <c r="J57" s="215"/>
      <c r="K57" s="215"/>
      <c r="L57" s="215"/>
      <c r="M57" s="215"/>
      <c r="N57" s="215"/>
      <c r="O57" s="216"/>
    </row>
    <row r="58" spans="1:15">
      <c r="A58" s="210" t="s">
        <v>215</v>
      </c>
      <c r="B58" s="210"/>
      <c r="C58" s="210"/>
      <c r="D58" s="210"/>
      <c r="E58" s="210"/>
      <c r="F58" s="210"/>
      <c r="G58" s="211" t="s">
        <v>216</v>
      </c>
      <c r="H58" s="164"/>
      <c r="I58" s="217"/>
      <c r="J58" s="218"/>
      <c r="K58" s="218"/>
      <c r="L58" s="218"/>
      <c r="M58" s="218"/>
      <c r="N58" s="218"/>
      <c r="O58" s="219"/>
    </row>
    <row r="59" spans="1:15">
      <c r="A59" s="210"/>
      <c r="B59" s="210"/>
      <c r="C59" s="210"/>
      <c r="D59" s="210"/>
      <c r="E59" s="210"/>
      <c r="F59" s="210"/>
      <c r="G59" s="211"/>
      <c r="H59" s="164"/>
      <c r="I59" s="217"/>
      <c r="J59" s="218"/>
      <c r="K59" s="218"/>
      <c r="L59" s="218"/>
      <c r="M59" s="218"/>
      <c r="N59" s="218"/>
      <c r="O59" s="219"/>
    </row>
    <row r="60" spans="1:15" s="157" customFormat="1">
      <c r="A60" s="157" t="s">
        <v>217</v>
      </c>
      <c r="G60" s="117">
        <v>0.15</v>
      </c>
      <c r="H60" s="179"/>
      <c r="I60" s="217"/>
      <c r="J60" s="218"/>
      <c r="K60" s="218"/>
      <c r="L60" s="218"/>
      <c r="M60" s="218"/>
      <c r="N60" s="218"/>
      <c r="O60" s="219"/>
    </row>
    <row r="61" spans="1:15" s="157" customFormat="1" ht="15" customHeight="1">
      <c r="A61" s="212" t="s">
        <v>219</v>
      </c>
      <c r="B61" s="212"/>
      <c r="C61" s="212"/>
      <c r="D61" s="212"/>
      <c r="E61" s="212"/>
      <c r="F61" s="212"/>
      <c r="G61" s="213">
        <v>0</v>
      </c>
      <c r="H61" s="179"/>
      <c r="I61" s="217"/>
      <c r="J61" s="218"/>
      <c r="K61" s="218"/>
      <c r="L61" s="218"/>
      <c r="M61" s="218"/>
      <c r="N61" s="218"/>
      <c r="O61" s="219"/>
    </row>
    <row r="62" spans="1:15" s="157" customFormat="1">
      <c r="A62" s="212"/>
      <c r="B62" s="212"/>
      <c r="C62" s="212"/>
      <c r="D62" s="212"/>
      <c r="E62" s="212"/>
      <c r="F62" s="212"/>
      <c r="G62" s="213"/>
      <c r="H62" s="179"/>
      <c r="I62" s="217"/>
      <c r="J62" s="218"/>
      <c r="K62" s="218"/>
      <c r="L62" s="218"/>
      <c r="M62" s="218"/>
      <c r="N62" s="218"/>
      <c r="O62" s="219"/>
    </row>
    <row r="63" spans="1:15" s="157" customFormat="1">
      <c r="A63" s="212"/>
      <c r="B63" s="212"/>
      <c r="C63" s="212"/>
      <c r="D63" s="212"/>
      <c r="E63" s="212"/>
      <c r="F63" s="212"/>
      <c r="G63" s="213"/>
      <c r="H63" s="179"/>
      <c r="I63" s="217"/>
      <c r="J63" s="218"/>
      <c r="K63" s="218"/>
      <c r="L63" s="218"/>
      <c r="M63" s="218"/>
      <c r="N63" s="218"/>
      <c r="O63" s="219"/>
    </row>
    <row r="64" spans="1:15" s="157" customFormat="1">
      <c r="A64" s="157" t="s">
        <v>218</v>
      </c>
      <c r="G64" s="180">
        <v>0</v>
      </c>
      <c r="H64" s="179"/>
      <c r="I64" s="220"/>
      <c r="J64" s="221"/>
      <c r="K64" s="221"/>
      <c r="L64" s="221"/>
      <c r="M64" s="221"/>
      <c r="N64" s="221"/>
      <c r="O64" s="222"/>
    </row>
    <row r="65" spans="1:15" s="157" customFormat="1">
      <c r="G65" s="181"/>
      <c r="H65" s="179"/>
      <c r="I65" s="182"/>
      <c r="J65" s="182"/>
      <c r="K65" s="182"/>
      <c r="L65" s="182"/>
      <c r="M65" s="182"/>
      <c r="N65" s="182"/>
      <c r="O65" s="182"/>
    </row>
    <row r="66" spans="1:15">
      <c r="G66" s="174"/>
    </row>
    <row r="67" spans="1:15" ht="14.25" customHeight="1">
      <c r="A67" s="161" t="s">
        <v>196</v>
      </c>
      <c r="F67" s="175" t="s">
        <v>80</v>
      </c>
      <c r="G67" s="176">
        <f>SUM(G68:G74)</f>
        <v>2500000</v>
      </c>
      <c r="H67" s="164"/>
      <c r="I67" s="190" t="s">
        <v>282</v>
      </c>
      <c r="J67" s="191"/>
      <c r="K67" s="191"/>
      <c r="L67" s="191"/>
      <c r="M67" s="191"/>
      <c r="N67" s="191"/>
      <c r="O67" s="192"/>
    </row>
    <row r="68" spans="1:15" ht="15" customHeight="1">
      <c r="A68" s="133" t="s">
        <v>207</v>
      </c>
      <c r="G68" s="125">
        <v>0</v>
      </c>
      <c r="I68" s="193"/>
      <c r="J68" s="194"/>
      <c r="K68" s="194"/>
      <c r="L68" s="194"/>
      <c r="M68" s="194"/>
      <c r="N68" s="194"/>
      <c r="O68" s="195"/>
    </row>
    <row r="69" spans="1:15">
      <c r="A69" s="133" t="s">
        <v>206</v>
      </c>
      <c r="G69" s="125">
        <v>1000000</v>
      </c>
      <c r="I69" s="193"/>
      <c r="J69" s="194"/>
      <c r="K69" s="194"/>
      <c r="L69" s="194"/>
      <c r="M69" s="194"/>
      <c r="N69" s="194"/>
      <c r="O69" s="195"/>
    </row>
    <row r="70" spans="1:15">
      <c r="A70" s="133" t="s">
        <v>208</v>
      </c>
      <c r="G70" s="125">
        <v>500000</v>
      </c>
      <c r="I70" s="193"/>
      <c r="J70" s="194"/>
      <c r="K70" s="194"/>
      <c r="L70" s="194"/>
      <c r="M70" s="194"/>
      <c r="N70" s="194"/>
      <c r="O70" s="195"/>
    </row>
    <row r="71" spans="1:15" ht="17.25">
      <c r="A71" s="133" t="s">
        <v>209</v>
      </c>
      <c r="G71" s="125">
        <v>1000000</v>
      </c>
      <c r="I71" s="193"/>
      <c r="J71" s="194"/>
      <c r="K71" s="194"/>
      <c r="L71" s="194"/>
      <c r="M71" s="194"/>
      <c r="N71" s="194"/>
      <c r="O71" s="195"/>
    </row>
    <row r="72" spans="1:15" ht="15" customHeight="1">
      <c r="A72" s="208" t="s">
        <v>273</v>
      </c>
      <c r="B72" s="208"/>
      <c r="C72" s="208"/>
      <c r="D72" s="208"/>
      <c r="E72" s="208"/>
      <c r="F72" s="208"/>
      <c r="G72" s="209">
        <v>0</v>
      </c>
      <c r="I72" s="193"/>
      <c r="J72" s="194"/>
      <c r="K72" s="194"/>
      <c r="L72" s="194"/>
      <c r="M72" s="194"/>
      <c r="N72" s="194"/>
      <c r="O72" s="195"/>
    </row>
    <row r="73" spans="1:15" ht="15" customHeight="1">
      <c r="A73" s="208"/>
      <c r="B73" s="208"/>
      <c r="C73" s="208"/>
      <c r="D73" s="208"/>
      <c r="E73" s="208"/>
      <c r="F73" s="208"/>
      <c r="G73" s="209"/>
      <c r="I73" s="193"/>
      <c r="J73" s="194"/>
      <c r="K73" s="194"/>
      <c r="L73" s="194"/>
      <c r="M73" s="194"/>
      <c r="N73" s="194"/>
      <c r="O73" s="195"/>
    </row>
    <row r="74" spans="1:15">
      <c r="A74" s="208" t="s">
        <v>281</v>
      </c>
      <c r="B74" s="208"/>
      <c r="C74" s="208"/>
      <c r="D74" s="208"/>
      <c r="E74" s="208"/>
      <c r="F74" s="208"/>
      <c r="G74" s="209">
        <v>0</v>
      </c>
      <c r="I74" s="193"/>
      <c r="J74" s="194"/>
      <c r="K74" s="194"/>
      <c r="L74" s="194"/>
      <c r="M74" s="194"/>
      <c r="N74" s="194"/>
      <c r="O74" s="195"/>
    </row>
    <row r="75" spans="1:15">
      <c r="A75" s="208"/>
      <c r="B75" s="208"/>
      <c r="C75" s="208"/>
      <c r="D75" s="208"/>
      <c r="E75" s="208"/>
      <c r="F75" s="208"/>
      <c r="G75" s="209"/>
      <c r="I75" s="196"/>
      <c r="J75" s="197"/>
      <c r="K75" s="197"/>
      <c r="L75" s="197"/>
      <c r="M75" s="197"/>
      <c r="N75" s="197"/>
      <c r="O75" s="198"/>
    </row>
    <row r="76" spans="1:15">
      <c r="A76" s="183"/>
      <c r="B76" s="183"/>
      <c r="C76" s="183"/>
      <c r="D76" s="183"/>
      <c r="E76" s="183"/>
      <c r="F76" s="183"/>
      <c r="G76" s="177"/>
      <c r="I76" s="160"/>
      <c r="J76" s="160"/>
      <c r="K76" s="160"/>
      <c r="L76" s="160"/>
      <c r="M76" s="160"/>
      <c r="N76" s="160"/>
      <c r="O76" s="160"/>
    </row>
    <row r="77" spans="1:15">
      <c r="B77" s="184"/>
      <c r="C77" s="185"/>
      <c r="D77" s="185"/>
      <c r="E77" s="185"/>
      <c r="G77" s="177"/>
      <c r="I77" s="160"/>
      <c r="J77" s="160"/>
      <c r="K77" s="160"/>
      <c r="L77" s="160"/>
      <c r="M77" s="160"/>
      <c r="N77" s="160"/>
      <c r="O77" s="160"/>
    </row>
    <row r="78" spans="1:15">
      <c r="A78" s="224" t="s">
        <v>130</v>
      </c>
      <c r="B78" s="224"/>
      <c r="C78" s="224"/>
      <c r="D78" s="224"/>
      <c r="E78" s="224"/>
      <c r="F78" s="224"/>
    </row>
    <row r="79" spans="1:15">
      <c r="A79" s="161" t="s">
        <v>48</v>
      </c>
    </row>
    <row r="80" spans="1:15">
      <c r="A80" s="133" t="s">
        <v>210</v>
      </c>
      <c r="E80" s="186" t="s">
        <v>119</v>
      </c>
      <c r="F80" s="117">
        <v>0.05</v>
      </c>
    </row>
    <row r="81" spans="1:15">
      <c r="A81" s="133" t="s">
        <v>211</v>
      </c>
      <c r="E81" s="186" t="s">
        <v>120</v>
      </c>
      <c r="F81" s="117">
        <v>0.02</v>
      </c>
    </row>
    <row r="82" spans="1:15">
      <c r="B82" s="133" t="s">
        <v>39</v>
      </c>
      <c r="E82" s="186"/>
      <c r="F82" s="189">
        <f>((1+F80)/(1+F81))-1</f>
        <v>2.941176470588247E-2</v>
      </c>
    </row>
    <row r="83" spans="1:15">
      <c r="E83" s="186"/>
      <c r="F83" s="187"/>
    </row>
    <row r="85" spans="1:15">
      <c r="A85" s="161" t="s">
        <v>131</v>
      </c>
      <c r="I85" s="163"/>
      <c r="J85" s="163"/>
      <c r="K85" s="163"/>
      <c r="L85" s="163"/>
      <c r="M85" s="163"/>
      <c r="N85" s="163"/>
      <c r="O85" s="163"/>
    </row>
    <row r="86" spans="1:15">
      <c r="A86" s="208" t="s">
        <v>212</v>
      </c>
      <c r="B86" s="208"/>
      <c r="C86" s="208"/>
      <c r="D86" s="208"/>
      <c r="E86" s="208"/>
      <c r="F86" s="211">
        <v>2000</v>
      </c>
      <c r="I86" s="163"/>
      <c r="J86" s="163"/>
      <c r="K86" s="163"/>
      <c r="L86" s="163"/>
      <c r="M86" s="163"/>
      <c r="N86" s="163"/>
      <c r="O86" s="163"/>
    </row>
    <row r="87" spans="1:15">
      <c r="A87" s="208"/>
      <c r="B87" s="208"/>
      <c r="C87" s="208"/>
      <c r="D87" s="208"/>
      <c r="E87" s="208"/>
      <c r="F87" s="211"/>
      <c r="I87" s="163"/>
      <c r="J87" s="163"/>
      <c r="K87" s="163"/>
      <c r="L87" s="163"/>
      <c r="M87" s="163"/>
      <c r="N87" s="163"/>
      <c r="O87" s="163"/>
    </row>
    <row r="88" spans="1:15" ht="17.25" customHeight="1">
      <c r="A88" s="208" t="s">
        <v>213</v>
      </c>
      <c r="B88" s="208"/>
      <c r="C88" s="208"/>
      <c r="D88" s="208"/>
      <c r="E88" s="208"/>
      <c r="F88" s="211">
        <v>37</v>
      </c>
    </row>
    <row r="89" spans="1:15">
      <c r="A89" s="208"/>
      <c r="B89" s="208"/>
      <c r="C89" s="208"/>
      <c r="D89" s="208"/>
      <c r="E89" s="208"/>
      <c r="F89" s="211"/>
    </row>
    <row r="90" spans="1:15">
      <c r="A90" s="208" t="s">
        <v>214</v>
      </c>
      <c r="B90" s="208"/>
      <c r="C90" s="208"/>
      <c r="D90" s="208"/>
      <c r="E90" s="208"/>
      <c r="F90" s="211">
        <v>5</v>
      </c>
    </row>
    <row r="91" spans="1:15">
      <c r="A91" s="208"/>
      <c r="B91" s="208"/>
      <c r="C91" s="208"/>
      <c r="D91" s="208"/>
      <c r="E91" s="208"/>
      <c r="F91" s="211"/>
    </row>
  </sheetData>
  <sheetProtection password="C907" sheet="1" objects="1" scenarios="1"/>
  <mergeCells count="47">
    <mergeCell ref="A88:E89"/>
    <mergeCell ref="F88:F89"/>
    <mergeCell ref="F86:F87"/>
    <mergeCell ref="A90:E91"/>
    <mergeCell ref="F90:F91"/>
    <mergeCell ref="A86:E87"/>
    <mergeCell ref="A78:F78"/>
    <mergeCell ref="A51:F52"/>
    <mergeCell ref="G51:G52"/>
    <mergeCell ref="A4:O10"/>
    <mergeCell ref="B17:F17"/>
    <mergeCell ref="A19:F20"/>
    <mergeCell ref="G19:G20"/>
    <mergeCell ref="A27:F28"/>
    <mergeCell ref="G27:G28"/>
    <mergeCell ref="A22:F23"/>
    <mergeCell ref="G22:G23"/>
    <mergeCell ref="I21:O34"/>
    <mergeCell ref="A24:F25"/>
    <mergeCell ref="G24:G25"/>
    <mergeCell ref="A29:F29"/>
    <mergeCell ref="A30:F30"/>
    <mergeCell ref="A31:F32"/>
    <mergeCell ref="G31:G32"/>
    <mergeCell ref="A12:E12"/>
    <mergeCell ref="I12:O12"/>
    <mergeCell ref="I17:O17"/>
    <mergeCell ref="A15:F16"/>
    <mergeCell ref="I15:O16"/>
    <mergeCell ref="A18:F18"/>
    <mergeCell ref="G15:G16"/>
    <mergeCell ref="I44:O54"/>
    <mergeCell ref="I37:O41"/>
    <mergeCell ref="A72:F73"/>
    <mergeCell ref="A74:F75"/>
    <mergeCell ref="G74:G75"/>
    <mergeCell ref="I67:O75"/>
    <mergeCell ref="A58:F59"/>
    <mergeCell ref="G58:G59"/>
    <mergeCell ref="A61:F63"/>
    <mergeCell ref="G61:G63"/>
    <mergeCell ref="I57:O64"/>
    <mergeCell ref="A45:F46"/>
    <mergeCell ref="A47:F48"/>
    <mergeCell ref="G45:G46"/>
    <mergeCell ref="G47:G48"/>
    <mergeCell ref="G72:G73"/>
  </mergeCell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G68"/>
  <sheetViews>
    <sheetView topLeftCell="A25" workbookViewId="0">
      <selection activeCell="J40" sqref="J40"/>
    </sheetView>
  </sheetViews>
  <sheetFormatPr defaultRowHeight="15"/>
  <cols>
    <col min="2" max="2" width="16.28515625" customWidth="1"/>
    <col min="3" max="3" width="12" style="8" customWidth="1"/>
    <col min="4" max="4" width="16" customWidth="1"/>
    <col min="5" max="5" width="17.42578125" customWidth="1"/>
    <col min="6" max="6" width="19" customWidth="1"/>
    <col min="7" max="7" width="21.5703125" customWidth="1"/>
  </cols>
  <sheetData>
    <row r="1" spans="2:7" ht="18">
      <c r="B1" s="20" t="s">
        <v>224</v>
      </c>
      <c r="F1" s="6" t="s">
        <v>93</v>
      </c>
    </row>
    <row r="2" spans="2:7" ht="15.75" thickBot="1">
      <c r="B2" s="20"/>
      <c r="C2" s="74"/>
      <c r="F2" s="6"/>
    </row>
    <row r="3" spans="2:7">
      <c r="B3" s="244" t="s">
        <v>231</v>
      </c>
      <c r="C3" s="245"/>
      <c r="D3" s="245"/>
      <c r="E3" s="245"/>
      <c r="F3" s="245"/>
      <c r="G3" s="246"/>
    </row>
    <row r="4" spans="2:7">
      <c r="B4" s="247"/>
      <c r="C4" s="248"/>
      <c r="D4" s="248"/>
      <c r="E4" s="248"/>
      <c r="F4" s="248"/>
      <c r="G4" s="249"/>
    </row>
    <row r="5" spans="2:7">
      <c r="B5" s="247"/>
      <c r="C5" s="248"/>
      <c r="D5" s="248"/>
      <c r="E5" s="248"/>
      <c r="F5" s="248"/>
      <c r="G5" s="249"/>
    </row>
    <row r="6" spans="2:7" ht="15.75" thickBot="1">
      <c r="B6" s="250"/>
      <c r="C6" s="251"/>
      <c r="D6" s="251"/>
      <c r="E6" s="251"/>
      <c r="F6" s="251"/>
      <c r="G6" s="252"/>
    </row>
    <row r="7" spans="2:7" ht="15.75" thickBot="1">
      <c r="B7" s="20"/>
      <c r="C7" s="74"/>
      <c r="F7" s="6"/>
    </row>
    <row r="8" spans="2:7" ht="15.75" thickBot="1">
      <c r="B8" s="241" t="s">
        <v>96</v>
      </c>
      <c r="C8" s="242"/>
      <c r="D8" s="243"/>
      <c r="E8" s="6"/>
    </row>
    <row r="9" spans="2:7">
      <c r="B9" t="s">
        <v>36</v>
      </c>
      <c r="C9" s="11"/>
      <c r="E9" s="53">
        <v>40</v>
      </c>
      <c r="F9" t="s">
        <v>37</v>
      </c>
    </row>
    <row r="10" spans="2:7">
      <c r="B10" t="s">
        <v>42</v>
      </c>
      <c r="C10" s="11"/>
      <c r="E10" s="53">
        <f>'Input Information'!G34</f>
        <v>1</v>
      </c>
    </row>
    <row r="11" spans="2:7">
      <c r="B11" t="s">
        <v>41</v>
      </c>
      <c r="C11" s="11"/>
      <c r="E11" s="54">
        <f>'Input Information'!F80</f>
        <v>0.05</v>
      </c>
    </row>
    <row r="12" spans="2:7">
      <c r="B12" t="s">
        <v>60</v>
      </c>
      <c r="C12" s="11"/>
      <c r="E12" s="54">
        <f>'Input Information'!F81</f>
        <v>0.02</v>
      </c>
    </row>
    <row r="13" spans="2:7">
      <c r="B13" t="s">
        <v>39</v>
      </c>
      <c r="C13" s="11"/>
      <c r="E13" s="55">
        <f>'Input Information'!F82</f>
        <v>2.941176470588247E-2</v>
      </c>
    </row>
    <row r="14" spans="2:7">
      <c r="B14" t="s">
        <v>220</v>
      </c>
      <c r="C14" s="11"/>
      <c r="E14" s="56">
        <f>'Input Information'!F86</f>
        <v>2000</v>
      </c>
    </row>
    <row r="15" spans="2:7">
      <c r="B15" t="s">
        <v>222</v>
      </c>
      <c r="C15" s="11"/>
      <c r="E15" s="56">
        <f>'Input Information'!F88</f>
        <v>37</v>
      </c>
    </row>
    <row r="16" spans="2:7">
      <c r="B16" t="s">
        <v>221</v>
      </c>
      <c r="C16" s="11"/>
      <c r="E16" s="56">
        <f>'Input Information'!F90</f>
        <v>5</v>
      </c>
    </row>
    <row r="17" spans="2:7" ht="15.75" thickBot="1">
      <c r="C17" s="11"/>
      <c r="E17" s="71"/>
    </row>
    <row r="18" spans="2:7">
      <c r="B18" s="253" t="s">
        <v>156</v>
      </c>
      <c r="C18" s="254"/>
      <c r="D18" s="255"/>
    </row>
    <row r="19" spans="2:7">
      <c r="B19" s="239" t="s">
        <v>95</v>
      </c>
      <c r="C19" s="240"/>
      <c r="D19" s="96">
        <f>E26/G26</f>
        <v>303.29162466570773</v>
      </c>
    </row>
    <row r="20" spans="2:7">
      <c r="B20" s="83"/>
      <c r="C20" s="141" t="s">
        <v>180</v>
      </c>
      <c r="D20" s="96"/>
    </row>
    <row r="21" spans="2:7">
      <c r="B21" s="239" t="str">
        <f>"Cost per cycle in "&amp;B28&amp;" €"</f>
        <v>Cost per cycle in 2012 €</v>
      </c>
      <c r="C21" s="240"/>
      <c r="D21" s="89">
        <f>D26/(E16*E9)</f>
        <v>4423048.0861342726</v>
      </c>
    </row>
    <row r="22" spans="2:7" ht="15" customHeight="1" thickBot="1">
      <c r="B22" s="256" t="s">
        <v>223</v>
      </c>
      <c r="C22" s="257"/>
      <c r="D22" s="258"/>
    </row>
    <row r="23" spans="2:7" ht="15.75" thickBot="1">
      <c r="B23" s="4"/>
      <c r="C23" s="11"/>
    </row>
    <row r="24" spans="2:7">
      <c r="B24" s="236" t="s">
        <v>157</v>
      </c>
      <c r="C24" s="237"/>
      <c r="D24" s="237"/>
      <c r="E24" s="237"/>
      <c r="F24" s="237"/>
      <c r="G24" s="238"/>
    </row>
    <row r="25" spans="2:7" ht="30">
      <c r="B25" s="142" t="s">
        <v>94</v>
      </c>
      <c r="C25" s="143" t="s">
        <v>0</v>
      </c>
      <c r="D25" s="143" t="str">
        <f>"Costs ("&amp;B28&amp;" €)"</f>
        <v>Costs (2012 €)</v>
      </c>
      <c r="E25" s="143" t="s">
        <v>67</v>
      </c>
      <c r="F25" s="143" t="s">
        <v>1</v>
      </c>
      <c r="G25" s="144" t="s">
        <v>2</v>
      </c>
    </row>
    <row r="26" spans="2:7">
      <c r="B26" s="78" t="s">
        <v>3</v>
      </c>
      <c r="C26" s="79"/>
      <c r="D26" s="81">
        <f>SUM(D29:D68)</f>
        <v>884609617.22685444</v>
      </c>
      <c r="E26" s="81">
        <f t="shared" ref="E26:G26" si="0">SUM(E29:E68)</f>
        <v>523746866.46108979</v>
      </c>
      <c r="F26" s="104">
        <f t="shared" si="0"/>
        <v>2960000</v>
      </c>
      <c r="G26" s="105">
        <f t="shared" si="0"/>
        <v>1726875.4685803503</v>
      </c>
    </row>
    <row r="27" spans="2:7">
      <c r="B27" s="83"/>
      <c r="C27" s="84"/>
      <c r="D27" s="84"/>
      <c r="E27" s="84"/>
      <c r="F27" s="84"/>
      <c r="G27" s="85"/>
    </row>
    <row r="28" spans="2:7">
      <c r="B28" s="86">
        <f>'Input Information'!G18</f>
        <v>2012</v>
      </c>
      <c r="C28" s="87">
        <v>0</v>
      </c>
      <c r="D28" s="88"/>
      <c r="E28" s="88"/>
      <c r="F28" s="87"/>
      <c r="G28" s="96"/>
    </row>
    <row r="29" spans="2:7">
      <c r="B29" s="86">
        <f t="shared" ref="B29:C44" si="1">B28+1</f>
        <v>2013</v>
      </c>
      <c r="C29" s="87">
        <f t="shared" si="1"/>
        <v>1</v>
      </c>
      <c r="D29" s="90">
        <f>'A-Capital'!E64+'B-Overhead'!D34+'C-Operational'!D39+'D-Decommissioning'!E28+'E-99Mo Specific'!E47</f>
        <v>23947742.461364221</v>
      </c>
      <c r="E29" s="88">
        <f>D29/((1+$E$13)^(C29))</f>
        <v>23263521.248182382</v>
      </c>
      <c r="F29" s="87">
        <f>$E$14*$E$15</f>
        <v>74000</v>
      </c>
      <c r="G29" s="106">
        <f t="shared" ref="G29:G68" si="2">F29/((1+$E$13)^C29)</f>
        <v>71885.714285714275</v>
      </c>
    </row>
    <row r="30" spans="2:7">
      <c r="B30" s="86">
        <f t="shared" si="1"/>
        <v>2014</v>
      </c>
      <c r="C30" s="87">
        <f t="shared" si="1"/>
        <v>2</v>
      </c>
      <c r="D30" s="90">
        <f>'A-Capital'!E65+'B-Overhead'!D35+'C-Operational'!D40+'D-Decommissioning'!E29+'E-99Mo Specific'!E48</f>
        <v>23797563.346336231</v>
      </c>
      <c r="E30" s="88">
        <f t="shared" ref="E30:E68" si="3">D30/((1+$E$13)^(C30))</f>
        <v>22457129.166011982</v>
      </c>
      <c r="F30" s="87">
        <f t="shared" ref="F30:F68" si="4">$E$14*$E$15</f>
        <v>74000</v>
      </c>
      <c r="G30" s="106">
        <f t="shared" si="2"/>
        <v>69831.836734693861</v>
      </c>
    </row>
    <row r="31" spans="2:7">
      <c r="B31" s="86">
        <f t="shared" si="1"/>
        <v>2015</v>
      </c>
      <c r="C31" s="87">
        <f t="shared" si="1"/>
        <v>3</v>
      </c>
      <c r="D31" s="90">
        <f>'A-Capital'!E66+'B-Overhead'!D36+'C-Operational'!D41+'D-Decommissioning'!E30+'E-99Mo Specific'!E49</f>
        <v>23650328.919838201</v>
      </c>
      <c r="E31" s="88">
        <f t="shared" si="3"/>
        <v>21680525.431261119</v>
      </c>
      <c r="F31" s="87">
        <f t="shared" si="4"/>
        <v>74000</v>
      </c>
      <c r="G31" s="106">
        <f t="shared" si="2"/>
        <v>67836.641399416898</v>
      </c>
    </row>
    <row r="32" spans="2:7">
      <c r="B32" s="86">
        <f t="shared" si="1"/>
        <v>2016</v>
      </c>
      <c r="C32" s="87">
        <f t="shared" si="1"/>
        <v>4</v>
      </c>
      <c r="D32" s="90">
        <f>'A-Capital'!E67+'B-Overhead'!D37+'C-Operational'!D42+'D-Decommissioning'!E31+'E-99Mo Specific'!E50</f>
        <v>23505981.442879349</v>
      </c>
      <c r="E32" s="88">
        <f t="shared" si="3"/>
        <v>20932537.587639555</v>
      </c>
      <c r="F32" s="87">
        <f t="shared" si="4"/>
        <v>74000</v>
      </c>
      <c r="G32" s="106">
        <f t="shared" si="2"/>
        <v>65898.451645147827</v>
      </c>
    </row>
    <row r="33" spans="2:7">
      <c r="B33" s="86">
        <f t="shared" si="1"/>
        <v>2017</v>
      </c>
      <c r="C33" s="87">
        <f t="shared" si="1"/>
        <v>5</v>
      </c>
      <c r="D33" s="90">
        <f>'A-Capital'!E68+'B-Overhead'!D38+'C-Operational'!D43+'D-Decommissioning'!E32+'E-99Mo Specific'!E51</f>
        <v>23364464.308605962</v>
      </c>
      <c r="E33" s="88">
        <f t="shared" si="3"/>
        <v>20212041.980496284</v>
      </c>
      <c r="F33" s="87">
        <f t="shared" si="4"/>
        <v>74000</v>
      </c>
      <c r="G33" s="106">
        <f t="shared" si="2"/>
        <v>64015.638741000745</v>
      </c>
    </row>
    <row r="34" spans="2:7">
      <c r="B34" s="86">
        <f t="shared" si="1"/>
        <v>2018</v>
      </c>
      <c r="C34" s="87">
        <f t="shared" si="1"/>
        <v>6</v>
      </c>
      <c r="D34" s="90">
        <f>'A-Capital'!E69+'B-Overhead'!D39+'C-Operational'!D44+'D-Decommissioning'!E33+'E-99Mo Specific'!E52</f>
        <v>23225722.020102642</v>
      </c>
      <c r="E34" s="88">
        <f t="shared" si="3"/>
        <v>19517961.633778024</v>
      </c>
      <c r="F34" s="87">
        <f t="shared" si="4"/>
        <v>74000</v>
      </c>
      <c r="G34" s="106">
        <f t="shared" si="2"/>
        <v>62186.620491257861</v>
      </c>
    </row>
    <row r="35" spans="2:7">
      <c r="B35" s="86">
        <f t="shared" si="1"/>
        <v>2019</v>
      </c>
      <c r="C35" s="87">
        <f t="shared" si="1"/>
        <v>7</v>
      </c>
      <c r="D35" s="90">
        <f>'A-Capital'!E70+'B-Overhead'!D40+'C-Operational'!D45+'D-Decommissioning'!E34+'E-99Mo Specific'!E53</f>
        <v>23089700.168628804</v>
      </c>
      <c r="E35" s="88">
        <f t="shared" si="3"/>
        <v>18849264.222346473</v>
      </c>
      <c r="F35" s="87">
        <f t="shared" si="4"/>
        <v>74000</v>
      </c>
      <c r="G35" s="106">
        <f t="shared" si="2"/>
        <v>60409.859905793346</v>
      </c>
    </row>
    <row r="36" spans="2:7">
      <c r="B36" s="86">
        <f t="shared" si="1"/>
        <v>2020</v>
      </c>
      <c r="C36" s="87">
        <f t="shared" si="1"/>
        <v>8</v>
      </c>
      <c r="D36" s="90">
        <f>'A-Capital'!E71+'B-Overhead'!D41+'C-Operational'!D46+'D-Decommissioning'!E35+'E-99Mo Specific'!E54</f>
        <v>22956345.412281897</v>
      </c>
      <c r="E36" s="88">
        <f t="shared" si="3"/>
        <v>18204960.13527735</v>
      </c>
      <c r="F36" s="87">
        <f t="shared" si="4"/>
        <v>74000</v>
      </c>
      <c r="G36" s="106">
        <f t="shared" si="2"/>
        <v>58683.863908484956</v>
      </c>
    </row>
    <row r="37" spans="2:7">
      <c r="B37" s="86">
        <f t="shared" si="1"/>
        <v>2021</v>
      </c>
      <c r="C37" s="87">
        <f t="shared" si="1"/>
        <v>9</v>
      </c>
      <c r="D37" s="90">
        <f>'A-Capital'!E72+'B-Overhead'!D42+'C-Operational'!D47+'D-Decommissioning'!E36+'E-99Mo Specific'!E55</f>
        <v>22825605.455079053</v>
      </c>
      <c r="E37" s="88">
        <f t="shared" si="3"/>
        <v>17584100.625968128</v>
      </c>
      <c r="F37" s="87">
        <f t="shared" si="4"/>
        <v>74000</v>
      </c>
      <c r="G37" s="106">
        <f t="shared" si="2"/>
        <v>57007.182082528241</v>
      </c>
    </row>
    <row r="38" spans="2:7">
      <c r="B38" s="86">
        <f t="shared" si="1"/>
        <v>2022</v>
      </c>
      <c r="C38" s="87">
        <f t="shared" si="1"/>
        <v>10</v>
      </c>
      <c r="D38" s="90">
        <f>'A-Capital'!E73+'B-Overhead'!D43+'C-Operational'!D48+'D-Decommissioning'!E37+'E-99Mo Specific'!E56</f>
        <v>22697429.026448809</v>
      </c>
      <c r="E38" s="88">
        <f t="shared" si="3"/>
        <v>16985776.045075282</v>
      </c>
      <c r="F38" s="87">
        <f t="shared" si="4"/>
        <v>74000</v>
      </c>
      <c r="G38" s="106">
        <f t="shared" si="2"/>
        <v>55378.405451598854</v>
      </c>
    </row>
    <row r="39" spans="2:7">
      <c r="B39" s="86">
        <f t="shared" si="1"/>
        <v>2023</v>
      </c>
      <c r="C39" s="87">
        <f t="shared" si="1"/>
        <v>11</v>
      </c>
      <c r="D39" s="90">
        <f>'A-Capital'!E74+'B-Overhead'!D44+'C-Operational'!D49+'D-Decommissioning'!E38+'E-99Mo Specific'!E57</f>
        <v>23275946.987499714</v>
      </c>
      <c r="E39" s="88">
        <f t="shared" si="3"/>
        <v>16921036.372388076</v>
      </c>
      <c r="F39" s="87">
        <f t="shared" si="4"/>
        <v>74000</v>
      </c>
      <c r="G39" s="106">
        <f t="shared" si="2"/>
        <v>53796.16529583888</v>
      </c>
    </row>
    <row r="40" spans="2:7">
      <c r="B40" s="86">
        <f t="shared" si="1"/>
        <v>2024</v>
      </c>
      <c r="C40" s="87">
        <f t="shared" si="1"/>
        <v>12</v>
      </c>
      <c r="D40" s="90">
        <f>'A-Capital'!E75+'B-Overhead'!D45+'C-Operational'!D50+'D-Decommissioning'!E39+'E-99Mo Specific'!E58</f>
        <v>23138940.332743578</v>
      </c>
      <c r="E40" s="88">
        <f t="shared" si="3"/>
        <v>16340823.47604946</v>
      </c>
      <c r="F40" s="87">
        <f t="shared" si="4"/>
        <v>74000</v>
      </c>
      <c r="G40" s="106">
        <f t="shared" si="2"/>
        <v>52259.132001672049</v>
      </c>
    </row>
    <row r="41" spans="2:7">
      <c r="B41" s="86">
        <f t="shared" si="1"/>
        <v>2025</v>
      </c>
      <c r="C41" s="87">
        <f t="shared" si="1"/>
        <v>13</v>
      </c>
      <c r="D41" s="90">
        <f>'A-Capital'!E76+'B-Overhead'!D46+'C-Operational'!D51+'D-Decommissioning'!E40+'E-99Mo Specific'!E59</f>
        <v>23004620.082982659</v>
      </c>
      <c r="E41" s="88">
        <f t="shared" si="3"/>
        <v>15781795.458381012</v>
      </c>
      <c r="F41" s="87">
        <f t="shared" si="4"/>
        <v>74000</v>
      </c>
      <c r="G41" s="106">
        <f t="shared" si="2"/>
        <v>50766.013944481412</v>
      </c>
    </row>
    <row r="42" spans="2:7">
      <c r="B42" s="86">
        <f t="shared" si="1"/>
        <v>2026</v>
      </c>
      <c r="C42" s="87">
        <f t="shared" si="1"/>
        <v>14</v>
      </c>
      <c r="D42" s="90">
        <f>'A-Capital'!E77+'B-Overhead'!D47+'C-Operational'!D52+'D-Decommissioning'!E41+'E-99Mo Specific'!E60</f>
        <v>22872933.563609205</v>
      </c>
      <c r="E42" s="88">
        <f t="shared" si="3"/>
        <v>15243127.638689954</v>
      </c>
      <c r="F42" s="87">
        <f t="shared" si="4"/>
        <v>74000</v>
      </c>
      <c r="G42" s="106">
        <f t="shared" si="2"/>
        <v>49315.556403210518</v>
      </c>
    </row>
    <row r="43" spans="2:7">
      <c r="B43" s="86">
        <f t="shared" si="1"/>
        <v>2027</v>
      </c>
      <c r="C43" s="87">
        <f t="shared" si="1"/>
        <v>15</v>
      </c>
      <c r="D43" s="90">
        <f>'A-Capital'!E78+'B-Overhead'!D48+'C-Operational'!D53+'D-Decommissioning'!E42+'E-99Mo Specific'!E61</f>
        <v>22743829.132850923</v>
      </c>
      <c r="E43" s="88">
        <f t="shared" si="3"/>
        <v>14724029.346134027</v>
      </c>
      <c r="F43" s="87">
        <f t="shared" si="4"/>
        <v>74000</v>
      </c>
      <c r="G43" s="106">
        <f t="shared" si="2"/>
        <v>47906.540505975929</v>
      </c>
    </row>
    <row r="44" spans="2:7">
      <c r="B44" s="86">
        <f t="shared" si="1"/>
        <v>2028</v>
      </c>
      <c r="C44" s="87">
        <f t="shared" si="1"/>
        <v>16</v>
      </c>
      <c r="D44" s="90">
        <f>'A-Capital'!E79+'B-Overhead'!D49+'C-Operational'!D54+'D-Decommissioning'!E43+'E-99Mo Specific'!E62</f>
        <v>22617256.161519274</v>
      </c>
      <c r="E44" s="88">
        <f t="shared" si="3"/>
        <v>14223742.450509315</v>
      </c>
      <c r="F44" s="87">
        <f t="shared" si="4"/>
        <v>74000</v>
      </c>
      <c r="G44" s="106">
        <f t="shared" si="2"/>
        <v>46537.782205805182</v>
      </c>
    </row>
    <row r="45" spans="2:7">
      <c r="B45" s="86">
        <f t="shared" ref="B45:C60" si="5">B44+1</f>
        <v>2029</v>
      </c>
      <c r="C45" s="87">
        <f t="shared" si="5"/>
        <v>17</v>
      </c>
      <c r="D45" s="90">
        <f>'A-Capital'!E80+'B-Overhead'!D50+'C-Operational'!D55+'D-Decommissioning'!E44+'E-99Mo Specific'!E63</f>
        <v>22493165.013154909</v>
      </c>
      <c r="E45" s="88">
        <f t="shared" si="3"/>
        <v>13741539.958706163</v>
      </c>
      <c r="F45" s="87">
        <f t="shared" si="4"/>
        <v>74000</v>
      </c>
      <c r="G45" s="106">
        <f t="shared" si="2"/>
        <v>45208.131285639312</v>
      </c>
    </row>
    <row r="46" spans="2:7">
      <c r="B46" s="86">
        <f t="shared" si="5"/>
        <v>2030</v>
      </c>
      <c r="C46" s="87">
        <f t="shared" si="5"/>
        <v>18</v>
      </c>
      <c r="D46" s="90">
        <f>'A-Capital'!E81+'B-Overhead'!D51+'C-Operational'!D56+'D-Decommissioning'!E45+'E-99Mo Specific'!E64</f>
        <v>22371507.024562392</v>
      </c>
      <c r="E46" s="88">
        <f t="shared" si="3"/>
        <v>13276724.673828816</v>
      </c>
      <c r="F46" s="87">
        <f t="shared" si="4"/>
        <v>74000</v>
      </c>
      <c r="G46" s="106">
        <f t="shared" si="2"/>
        <v>43916.470391763905</v>
      </c>
    </row>
    <row r="47" spans="2:7">
      <c r="B47" s="86">
        <f t="shared" si="5"/>
        <v>2031</v>
      </c>
      <c r="C47" s="87">
        <f t="shared" si="5"/>
        <v>19</v>
      </c>
      <c r="D47" s="90">
        <f>'A-Capital'!E82+'B-Overhead'!D52+'C-Operational'!D57+'D-Decommissioning'!E46+'E-99Mo Specific'!E65</f>
        <v>22252234.486726597</v>
      </c>
      <c r="E47" s="88">
        <f t="shared" si="3"/>
        <v>12828627.914113957</v>
      </c>
      <c r="F47" s="87">
        <f t="shared" si="4"/>
        <v>74000</v>
      </c>
      <c r="G47" s="106">
        <f t="shared" si="2"/>
        <v>42661.714094856361</v>
      </c>
    </row>
    <row r="48" spans="2:7">
      <c r="B48" s="86">
        <f t="shared" si="5"/>
        <v>2032</v>
      </c>
      <c r="C48" s="87">
        <f t="shared" si="5"/>
        <v>20</v>
      </c>
      <c r="D48" s="90">
        <f>'A-Capital'!E83+'B-Overhead'!D53+'C-Operational'!D58+'D-Decommissioning'!E47+'E-99Mo Specific'!E66</f>
        <v>22135300.626103267</v>
      </c>
      <c r="E48" s="88">
        <f t="shared" si="3"/>
        <v>12396608.288916379</v>
      </c>
      <c r="F48" s="87">
        <f t="shared" si="4"/>
        <v>74000</v>
      </c>
      <c r="G48" s="106">
        <f t="shared" si="2"/>
        <v>41442.807977860459</v>
      </c>
    </row>
    <row r="49" spans="2:7">
      <c r="B49" s="86">
        <f t="shared" si="5"/>
        <v>2033</v>
      </c>
      <c r="C49" s="87">
        <f t="shared" si="5"/>
        <v>21</v>
      </c>
      <c r="D49" s="90">
        <f>'A-Capital'!E84+'B-Overhead'!D54+'C-Operational'!D59+'D-Decommissioning'!E48+'E-99Mo Specific'!E67</f>
        <v>22147166.922825508</v>
      </c>
      <c r="E49" s="88">
        <f t="shared" si="3"/>
        <v>12048875.183487847</v>
      </c>
      <c r="F49" s="87">
        <f t="shared" si="4"/>
        <v>74000</v>
      </c>
      <c r="G49" s="106">
        <f t="shared" si="2"/>
        <v>40258.727749921585</v>
      </c>
    </row>
    <row r="50" spans="2:7">
      <c r="B50" s="86">
        <f t="shared" si="5"/>
        <v>2034</v>
      </c>
      <c r="C50" s="87">
        <f t="shared" si="5"/>
        <v>22</v>
      </c>
      <c r="D50" s="90">
        <f>'A-Capital'!E85+'B-Overhead'!D55+'C-Operational'!D60+'D-Decommissioning'!E49+'E-99Mo Specific'!E68</f>
        <v>22032293.210513961</v>
      </c>
      <c r="E50" s="88">
        <f t="shared" si="3"/>
        <v>11643911.659586845</v>
      </c>
      <c r="F50" s="87">
        <f t="shared" si="4"/>
        <v>74000</v>
      </c>
      <c r="G50" s="106">
        <f t="shared" si="2"/>
        <v>39108.478385638111</v>
      </c>
    </row>
    <row r="51" spans="2:7">
      <c r="B51" s="86">
        <f t="shared" si="5"/>
        <v>2035</v>
      </c>
      <c r="C51" s="87">
        <f t="shared" si="5"/>
        <v>23</v>
      </c>
      <c r="D51" s="90">
        <f>'A-Capital'!E86+'B-Overhead'!D56+'C-Operational'!D61+'D-Decommissioning'!E50+'E-99Mo Specific'!E69</f>
        <v>21919671.923934016</v>
      </c>
      <c r="E51" s="88">
        <f t="shared" si="3"/>
        <v>11253409.471951107</v>
      </c>
      <c r="F51" s="87">
        <f t="shared" si="4"/>
        <v>74000</v>
      </c>
      <c r="G51" s="106">
        <f t="shared" si="2"/>
        <v>37991.093288905591</v>
      </c>
    </row>
    <row r="52" spans="2:7">
      <c r="B52" s="86">
        <f t="shared" si="5"/>
        <v>2036</v>
      </c>
      <c r="C52" s="87">
        <f t="shared" si="5"/>
        <v>24</v>
      </c>
      <c r="D52" s="90">
        <f>'A-Capital'!E87+'B-Overhead'!D57+'C-Operational'!D62+'D-Decommissioning'!E51+'E-99Mo Specific'!E70</f>
        <v>21809258.897875249</v>
      </c>
      <c r="E52" s="88">
        <f t="shared" si="3"/>
        <v>10876817.775265047</v>
      </c>
      <c r="F52" s="87">
        <f t="shared" si="4"/>
        <v>74000</v>
      </c>
      <c r="G52" s="106">
        <f t="shared" si="2"/>
        <v>36905.633480651137</v>
      </c>
    </row>
    <row r="53" spans="2:7">
      <c r="B53" s="86">
        <f t="shared" si="5"/>
        <v>2037</v>
      </c>
      <c r="C53" s="87">
        <f t="shared" si="5"/>
        <v>25</v>
      </c>
      <c r="D53" s="90">
        <f>'A-Capital'!E88+'B-Overhead'!D58+'C-Operational'!D63+'D-Decommissioning'!E52+'E-99Mo Specific'!E71</f>
        <v>21701010.833111748</v>
      </c>
      <c r="E53" s="88">
        <f t="shared" si="3"/>
        <v>10513608.018092548</v>
      </c>
      <c r="F53" s="87">
        <f t="shared" si="4"/>
        <v>74000</v>
      </c>
      <c r="G53" s="106">
        <f t="shared" si="2"/>
        <v>35851.186809775383</v>
      </c>
    </row>
    <row r="54" spans="2:7">
      <c r="B54" s="86">
        <f t="shared" si="5"/>
        <v>2038</v>
      </c>
      <c r="C54" s="87">
        <f t="shared" si="5"/>
        <v>26</v>
      </c>
      <c r="D54" s="90">
        <f>'A-Capital'!E89+'B-Overhead'!D59+'C-Operational'!D64+'D-Decommissioning'!E53+'E-99Mo Specific'!E72</f>
        <v>21594885.279422037</v>
      </c>
      <c r="E54" s="88">
        <f t="shared" si="3"/>
        <v>10163272.993745077</v>
      </c>
      <c r="F54" s="87">
        <f t="shared" si="4"/>
        <v>74000</v>
      </c>
      <c r="G54" s="106">
        <f t="shared" si="2"/>
        <v>34826.867186638941</v>
      </c>
    </row>
    <row r="55" spans="2:7">
      <c r="B55" s="86">
        <f t="shared" si="5"/>
        <v>2039</v>
      </c>
      <c r="C55" s="87">
        <f t="shared" si="5"/>
        <v>27</v>
      </c>
      <c r="D55" s="90">
        <f>'A-Capital'!E90+'B-Overhead'!D60+'C-Operational'!D65+'D-Decommissioning'!E54+'E-99Mo Specific'!E73</f>
        <v>21490840.618941937</v>
      </c>
      <c r="E55" s="88">
        <f t="shared" si="3"/>
        <v>9825325.9331328012</v>
      </c>
      <c r="F55" s="87">
        <f t="shared" si="4"/>
        <v>74000</v>
      </c>
      <c r="G55" s="106">
        <f t="shared" si="2"/>
        <v>33831.813838449256</v>
      </c>
    </row>
    <row r="56" spans="2:7">
      <c r="B56" s="86">
        <f t="shared" si="5"/>
        <v>2040</v>
      </c>
      <c r="C56" s="87">
        <f t="shared" si="5"/>
        <v>28</v>
      </c>
      <c r="D56" s="90">
        <f>'A-Capital'!E91+'B-Overhead'!D61+'C-Operational'!D66+'D-Decommissioning'!E55+'E-99Mo Specific'!E74</f>
        <v>21388836.049843796</v>
      </c>
      <c r="E56" s="88">
        <f t="shared" si="3"/>
        <v>9499299.6376913283</v>
      </c>
      <c r="F56" s="87">
        <f t="shared" si="4"/>
        <v>74000</v>
      </c>
      <c r="G56" s="106">
        <f t="shared" si="2"/>
        <v>32865.19058592213</v>
      </c>
    </row>
    <row r="57" spans="2:7">
      <c r="B57" s="86">
        <f t="shared" si="5"/>
        <v>2041</v>
      </c>
      <c r="C57" s="87">
        <f t="shared" si="5"/>
        <v>29</v>
      </c>
      <c r="D57" s="90">
        <f>'A-Capital'!E92+'B-Overhead'!D62+'C-Operational'!D67+'D-Decommissioning'!E56+'E-99Mo Specific'!E75</f>
        <v>21288831.570335813</v>
      </c>
      <c r="E57" s="88">
        <f t="shared" si="3"/>
        <v>9184745.6505649425</v>
      </c>
      <c r="F57" s="87">
        <f t="shared" si="4"/>
        <v>74000</v>
      </c>
      <c r="G57" s="106">
        <f t="shared" si="2"/>
        <v>31926.185140610069</v>
      </c>
    </row>
    <row r="58" spans="2:7">
      <c r="B58" s="86">
        <f t="shared" si="5"/>
        <v>2042</v>
      </c>
      <c r="C58" s="87">
        <f t="shared" si="5"/>
        <v>30</v>
      </c>
      <c r="D58" s="90">
        <f>'A-Capital'!E93+'B-Overhead'!D63+'C-Operational'!D68+'D-Decommissioning'!E57+'E-99Mo Specific'!E76</f>
        <v>21190787.962975044</v>
      </c>
      <c r="E58" s="88">
        <f t="shared" si="3"/>
        <v>8881233.4643111918</v>
      </c>
      <c r="F58" s="87">
        <f t="shared" si="4"/>
        <v>74000</v>
      </c>
      <c r="G58" s="106">
        <f t="shared" si="2"/>
        <v>31014.008422306921</v>
      </c>
    </row>
    <row r="59" spans="2:7">
      <c r="B59" s="86">
        <f t="shared" si="5"/>
        <v>2043</v>
      </c>
      <c r="C59" s="87">
        <f t="shared" si="5"/>
        <v>31</v>
      </c>
      <c r="D59" s="90">
        <f>'A-Capital'!E94+'B-Overhead'!D64+'C-Operational'!D69+'D-Decommissioning'!E58+'E-99Mo Specific'!E77</f>
        <v>21221174.115837056</v>
      </c>
      <c r="E59" s="88">
        <f t="shared" si="3"/>
        <v>8639855.1636423208</v>
      </c>
      <c r="F59" s="87">
        <f t="shared" si="4"/>
        <v>74000</v>
      </c>
      <c r="G59" s="106">
        <f t="shared" si="2"/>
        <v>30127.893895955294</v>
      </c>
    </row>
    <row r="60" spans="2:7">
      <c r="B60" s="86">
        <f t="shared" si="5"/>
        <v>2044</v>
      </c>
      <c r="C60" s="87">
        <f t="shared" si="5"/>
        <v>32</v>
      </c>
      <c r="D60" s="90">
        <f>'A-Capital'!E95+'B-Overhead'!D65+'C-Operational'!D70+'D-Decommissioning'!E59+'E-99Mo Specific'!E78</f>
        <v>21124457.125231165</v>
      </c>
      <c r="E60" s="88">
        <f t="shared" si="3"/>
        <v>8354750.4624992758</v>
      </c>
      <c r="F60" s="87">
        <f t="shared" si="4"/>
        <v>74000</v>
      </c>
      <c r="G60" s="106">
        <f t="shared" si="2"/>
        <v>29267.096927499424</v>
      </c>
    </row>
    <row r="61" spans="2:7">
      <c r="B61" s="86">
        <f t="shared" ref="B61:C68" si="6">B60+1</f>
        <v>2045</v>
      </c>
      <c r="C61" s="87">
        <f t="shared" si="6"/>
        <v>33</v>
      </c>
      <c r="D61" s="90">
        <f>'A-Capital'!E96+'B-Overhead'!D66+'C-Operational'!D71+'D-Decommissioning'!E60+'E-99Mo Specific'!E79</f>
        <v>21029636.546205785</v>
      </c>
      <c r="E61" s="88">
        <f t="shared" si="3"/>
        <v>8079613.1193159157</v>
      </c>
      <c r="F61" s="87">
        <f t="shared" si="4"/>
        <v>74000</v>
      </c>
      <c r="G61" s="106">
        <f t="shared" si="2"/>
        <v>28430.894158142295</v>
      </c>
    </row>
    <row r="62" spans="2:7">
      <c r="B62" s="86">
        <f t="shared" si="6"/>
        <v>2046</v>
      </c>
      <c r="C62" s="87">
        <f t="shared" si="6"/>
        <v>34</v>
      </c>
      <c r="D62" s="90">
        <f>'A-Capital'!E97+'B-Overhead'!D67+'C-Operational'!D72+'D-Decommissioning'!E61+'E-99Mo Specific'!E80</f>
        <v>20936675.194220114</v>
      </c>
      <c r="E62" s="88">
        <f t="shared" si="3"/>
        <v>7814071.6138955066</v>
      </c>
      <c r="F62" s="87">
        <f t="shared" si="4"/>
        <v>74000</v>
      </c>
      <c r="G62" s="106">
        <f t="shared" si="2"/>
        <v>27618.582896481086</v>
      </c>
    </row>
    <row r="63" spans="2:7">
      <c r="B63" s="86">
        <f t="shared" si="6"/>
        <v>2047</v>
      </c>
      <c r="C63" s="87">
        <f t="shared" si="6"/>
        <v>35</v>
      </c>
      <c r="D63" s="90">
        <f>'A-Capital'!E98+'B-Overhead'!D68+'C-Operational'!D73+'D-Decommissioning'!E62+'E-99Mo Specific'!E81</f>
        <v>20845536.61384201</v>
      </c>
      <c r="E63" s="88">
        <f t="shared" si="3"/>
        <v>7557769.1713107815</v>
      </c>
      <c r="F63" s="87">
        <f t="shared" si="4"/>
        <v>74000</v>
      </c>
      <c r="G63" s="106">
        <f t="shared" si="2"/>
        <v>26829.480528010194</v>
      </c>
    </row>
    <row r="64" spans="2:7">
      <c r="B64" s="86">
        <f t="shared" si="6"/>
        <v>2048</v>
      </c>
      <c r="C64" s="87">
        <f t="shared" si="6"/>
        <v>36</v>
      </c>
      <c r="D64" s="90">
        <f>'A-Capital'!E99+'B-Overhead'!D69+'C-Operational'!D74+'D-Decommissioning'!E63+'E-99Mo Specific'!E82</f>
        <v>20756185.064451709</v>
      </c>
      <c r="E64" s="88">
        <f t="shared" si="3"/>
        <v>7310363.1439244887</v>
      </c>
      <c r="F64" s="87">
        <f t="shared" si="4"/>
        <v>74000</v>
      </c>
      <c r="G64" s="106">
        <f t="shared" si="2"/>
        <v>26062.923941495614</v>
      </c>
    </row>
    <row r="65" spans="2:7">
      <c r="B65" s="86">
        <f t="shared" si="6"/>
        <v>2049</v>
      </c>
      <c r="C65" s="87">
        <f t="shared" si="6"/>
        <v>37</v>
      </c>
      <c r="D65" s="90">
        <f>'A-Capital'!E100+'B-Overhead'!D70+'C-Operational'!D75+'D-Decommissioning'!E64+'E-99Mo Specific'!E83</f>
        <v>20668585.506225925</v>
      </c>
      <c r="E65" s="88">
        <f t="shared" si="3"/>
        <v>7071524.4204325126</v>
      </c>
      <c r="F65" s="87">
        <f t="shared" si="4"/>
        <v>74000</v>
      </c>
      <c r="G65" s="106">
        <f t="shared" si="2"/>
        <v>25318.268971738598</v>
      </c>
    </row>
    <row r="66" spans="2:7">
      <c r="B66" s="86">
        <f t="shared" si="6"/>
        <v>2050</v>
      </c>
      <c r="C66" s="87">
        <f t="shared" si="6"/>
        <v>38</v>
      </c>
      <c r="D66" s="90">
        <f>'A-Capital'!E101+'B-Overhead'!D71+'C-Operational'!D76+'D-Decommissioning'!E65+'E-99Mo Specific'!E84</f>
        <v>20582703.586396724</v>
      </c>
      <c r="E66" s="88">
        <f t="shared" si="3"/>
        <v>6840936.8607114553</v>
      </c>
      <c r="F66" s="87">
        <f t="shared" si="4"/>
        <v>74000</v>
      </c>
      <c r="G66" s="106">
        <f t="shared" si="2"/>
        <v>24594.889858260351</v>
      </c>
    </row>
    <row r="67" spans="2:7">
      <c r="B67" s="86">
        <f t="shared" si="6"/>
        <v>2051</v>
      </c>
      <c r="C67" s="87">
        <f t="shared" si="6"/>
        <v>39</v>
      </c>
      <c r="D67" s="90">
        <f>'A-Capital'!E102+'B-Overhead'!D72+'C-Operational'!D77+'D-Decommissioning'!E66+'E-99Mo Specific'!E85</f>
        <v>20498505.625779863</v>
      </c>
      <c r="E67" s="88">
        <f t="shared" si="3"/>
        <v>6618296.7553086942</v>
      </c>
      <c r="F67" s="87">
        <f t="shared" si="4"/>
        <v>74000</v>
      </c>
      <c r="G67" s="106">
        <f t="shared" si="2"/>
        <v>23892.178719452906</v>
      </c>
    </row>
    <row r="68" spans="2:7" ht="15.75" thickBot="1">
      <c r="B68" s="51">
        <f t="shared" si="6"/>
        <v>2052</v>
      </c>
      <c r="C68" s="92">
        <f t="shared" si="6"/>
        <v>40</v>
      </c>
      <c r="D68" s="93">
        <f>'A-Capital'!E103+'B-Overhead'!D73+'C-Operational'!D78+'D-Decommissioning'!E67+'E-99Mo Specific'!E86</f>
        <v>20415958.60556725</v>
      </c>
      <c r="E68" s="94">
        <f t="shared" si="3"/>
        <v>6403312.3084662622</v>
      </c>
      <c r="F68" s="92">
        <f t="shared" si="4"/>
        <v>74000</v>
      </c>
      <c r="G68" s="107">
        <f t="shared" si="2"/>
        <v>23209.545041754249</v>
      </c>
    </row>
  </sheetData>
  <sheetProtection password="C907" sheet="1" objects="1" scenarios="1"/>
  <mergeCells count="7">
    <mergeCell ref="B24:G24"/>
    <mergeCell ref="B19:C19"/>
    <mergeCell ref="B8:D8"/>
    <mergeCell ref="B3:G6"/>
    <mergeCell ref="B21:C21"/>
    <mergeCell ref="B18:D18"/>
    <mergeCell ref="B22:D22"/>
  </mergeCells>
  <pageMargins left="0.70866141732283472" right="0.70866141732283472" top="0.74803149606299213" bottom="0.74803149606299213" header="0.31496062992125984" footer="0.31496062992125984"/>
  <pageSetup paperSize="9" scale="77" fitToHeight="2" orientation="portrait" r:id="rId1"/>
</worksheet>
</file>

<file path=xl/worksheets/sheet3.xml><?xml version="1.0" encoding="utf-8"?>
<worksheet xmlns="http://schemas.openxmlformats.org/spreadsheetml/2006/main" xmlns:r="http://schemas.openxmlformats.org/officeDocument/2006/relationships">
  <dimension ref="A1:K103"/>
  <sheetViews>
    <sheetView topLeftCell="A22" zoomScaleNormal="100" workbookViewId="0">
      <selection activeCell="D34" sqref="D34"/>
    </sheetView>
  </sheetViews>
  <sheetFormatPr defaultRowHeight="15"/>
  <cols>
    <col min="1" max="1" width="46.140625" customWidth="1"/>
    <col min="2" max="2" width="12" style="8" customWidth="1"/>
    <col min="3" max="3" width="16.85546875" bestFit="1" customWidth="1"/>
    <col min="4" max="4" width="16" customWidth="1"/>
    <col min="5" max="5" width="18" customWidth="1"/>
    <col min="6" max="6" width="21" customWidth="1"/>
    <col min="7" max="7" width="22" customWidth="1"/>
    <col min="8" max="8" width="19" customWidth="1"/>
    <col min="9" max="9" width="21.5703125" customWidth="1"/>
  </cols>
  <sheetData>
    <row r="1" spans="1:11" ht="18">
      <c r="A1" s="20" t="s">
        <v>225</v>
      </c>
      <c r="E1" s="6" t="s">
        <v>175</v>
      </c>
    </row>
    <row r="2" spans="1:11">
      <c r="A2" s="20"/>
      <c r="B2" s="140"/>
      <c r="E2" s="6"/>
    </row>
    <row r="3" spans="1:11">
      <c r="A3" s="277" t="s">
        <v>270</v>
      </c>
      <c r="B3" s="278"/>
      <c r="C3" s="278"/>
      <c r="D3" s="278"/>
      <c r="E3" s="278"/>
      <c r="F3" s="279"/>
    </row>
    <row r="4" spans="1:11">
      <c r="A4" s="280"/>
      <c r="B4" s="281"/>
      <c r="C4" s="281"/>
      <c r="D4" s="281"/>
      <c r="E4" s="281"/>
      <c r="F4" s="282"/>
    </row>
    <row r="5" spans="1:11">
      <c r="A5" s="283"/>
      <c r="B5" s="284"/>
      <c r="C5" s="284"/>
      <c r="D5" s="284"/>
      <c r="E5" s="284"/>
      <c r="F5" s="285"/>
    </row>
    <row r="7" spans="1:11">
      <c r="A7" s="9" t="s">
        <v>35</v>
      </c>
      <c r="B7" s="9" t="s">
        <v>24</v>
      </c>
      <c r="E7" s="289" t="s">
        <v>22</v>
      </c>
      <c r="F7" s="290"/>
      <c r="G7" s="290"/>
      <c r="H7" s="291"/>
      <c r="I7" s="18"/>
      <c r="J7" s="18"/>
      <c r="K7" s="18"/>
    </row>
    <row r="8" spans="1:11" ht="18" customHeight="1">
      <c r="A8" t="s">
        <v>274</v>
      </c>
      <c r="B8" s="11" t="s">
        <v>25</v>
      </c>
      <c r="C8" s="52">
        <f>'Input Information'!G15</f>
        <v>435000000</v>
      </c>
      <c r="E8" s="262" t="s">
        <v>159</v>
      </c>
      <c r="F8" s="263"/>
      <c r="G8" s="263"/>
      <c r="H8" s="264"/>
      <c r="I8" s="17"/>
      <c r="J8" s="17"/>
      <c r="K8" s="17"/>
    </row>
    <row r="9" spans="1:11" ht="29.25" customHeight="1">
      <c r="A9" s="13" t="s">
        <v>36</v>
      </c>
      <c r="B9" s="11" t="s">
        <v>117</v>
      </c>
      <c r="C9" s="53">
        <f>'Input Information'!G17</f>
        <v>40</v>
      </c>
      <c r="D9" s="13" t="s">
        <v>37</v>
      </c>
      <c r="E9" s="265" t="s">
        <v>232</v>
      </c>
      <c r="F9" s="266"/>
      <c r="G9" s="266"/>
      <c r="H9" s="267"/>
    </row>
    <row r="10" spans="1:11">
      <c r="A10" t="s">
        <v>122</v>
      </c>
      <c r="B10" s="11" t="s">
        <v>118</v>
      </c>
      <c r="C10" s="53">
        <f>'Input Information'!G34</f>
        <v>1</v>
      </c>
    </row>
    <row r="11" spans="1:11">
      <c r="A11" t="s">
        <v>121</v>
      </c>
      <c r="B11" s="11" t="s">
        <v>119</v>
      </c>
      <c r="C11" s="54">
        <f>'Input Information'!F80</f>
        <v>0.05</v>
      </c>
    </row>
    <row r="12" spans="1:11">
      <c r="A12" t="s">
        <v>40</v>
      </c>
      <c r="B12" s="11" t="s">
        <v>120</v>
      </c>
      <c r="C12" s="54">
        <f>'Input Information'!F81</f>
        <v>0.02</v>
      </c>
    </row>
    <row r="13" spans="1:11">
      <c r="A13" t="s">
        <v>39</v>
      </c>
      <c r="B13" s="11"/>
      <c r="C13" s="55">
        <f>'Input Information'!F82</f>
        <v>2.941176470588247E-2</v>
      </c>
    </row>
    <row r="14" spans="1:11" ht="18" customHeight="1">
      <c r="A14" t="s">
        <v>100</v>
      </c>
      <c r="B14" s="11" t="s">
        <v>106</v>
      </c>
      <c r="C14" s="52">
        <f>'Input Information'!G21</f>
        <v>21750000</v>
      </c>
      <c r="E14" s="274" t="s">
        <v>158</v>
      </c>
      <c r="F14" s="275"/>
      <c r="G14" s="275"/>
      <c r="H14" s="276"/>
      <c r="I14" s="17"/>
      <c r="J14" s="17"/>
      <c r="K14" s="17"/>
    </row>
    <row r="15" spans="1:11" ht="15.75" customHeight="1">
      <c r="A15" t="s">
        <v>103</v>
      </c>
      <c r="B15" s="112" t="s">
        <v>172</v>
      </c>
      <c r="C15" s="68">
        <f>'Input Information'!G22</f>
        <v>10</v>
      </c>
      <c r="D15" t="s">
        <v>37</v>
      </c>
      <c r="E15" s="286"/>
      <c r="F15" s="287"/>
      <c r="G15" s="287"/>
      <c r="H15" s="288"/>
      <c r="I15" s="17"/>
      <c r="J15" s="17"/>
      <c r="K15" s="17"/>
    </row>
    <row r="16" spans="1:11" ht="18" customHeight="1">
      <c r="A16" t="s">
        <v>115</v>
      </c>
      <c r="B16" s="11" t="s">
        <v>110</v>
      </c>
      <c r="C16" s="68">
        <f>'Input Information'!G24</f>
        <v>11</v>
      </c>
      <c r="E16" s="286"/>
      <c r="F16" s="287"/>
      <c r="G16" s="287"/>
      <c r="H16" s="288"/>
      <c r="I16" s="17"/>
      <c r="J16" s="17"/>
      <c r="K16" s="17"/>
    </row>
    <row r="17" spans="1:11" ht="18" customHeight="1">
      <c r="A17" t="s">
        <v>101</v>
      </c>
      <c r="B17" s="11" t="s">
        <v>107</v>
      </c>
      <c r="C17" s="69">
        <f>'Input Information'!G26</f>
        <v>21750000</v>
      </c>
      <c r="E17" s="286"/>
      <c r="F17" s="287"/>
      <c r="G17" s="287"/>
      <c r="H17" s="288"/>
      <c r="I17" s="17"/>
      <c r="J17" s="17"/>
      <c r="K17" s="17"/>
    </row>
    <row r="18" spans="1:11" ht="18" customHeight="1">
      <c r="A18" t="s">
        <v>104</v>
      </c>
      <c r="B18" s="112" t="s">
        <v>173</v>
      </c>
      <c r="C18" s="68">
        <f>'Input Information'!G27</f>
        <v>10</v>
      </c>
      <c r="D18" t="s">
        <v>37</v>
      </c>
      <c r="E18" s="286"/>
      <c r="F18" s="287"/>
      <c r="G18" s="287"/>
      <c r="H18" s="288"/>
      <c r="I18" s="17"/>
      <c r="J18" s="17"/>
      <c r="K18" s="17"/>
    </row>
    <row r="19" spans="1:11" ht="18" customHeight="1">
      <c r="A19" t="s">
        <v>114</v>
      </c>
      <c r="B19" s="11" t="s">
        <v>112</v>
      </c>
      <c r="C19" s="68">
        <f>'Input Information'!G29</f>
        <v>21</v>
      </c>
      <c r="E19" s="286"/>
      <c r="F19" s="287"/>
      <c r="G19" s="287"/>
      <c r="H19" s="288"/>
      <c r="I19" s="17"/>
      <c r="J19" s="17"/>
      <c r="K19" s="17"/>
    </row>
    <row r="20" spans="1:11" ht="18" customHeight="1">
      <c r="A20" t="s">
        <v>102</v>
      </c>
      <c r="B20" s="11" t="s">
        <v>108</v>
      </c>
      <c r="C20" s="69">
        <f>'Input Information'!G30</f>
        <v>21750000</v>
      </c>
      <c r="E20" s="286"/>
      <c r="F20" s="287"/>
      <c r="G20" s="287"/>
      <c r="H20" s="288"/>
      <c r="I20" s="17"/>
      <c r="J20" s="17"/>
      <c r="K20" s="17"/>
    </row>
    <row r="21" spans="1:11" ht="18" customHeight="1">
      <c r="A21" t="s">
        <v>105</v>
      </c>
      <c r="B21" s="112" t="s">
        <v>174</v>
      </c>
      <c r="C21" s="68">
        <f>'Input Information'!G31</f>
        <v>10</v>
      </c>
      <c r="D21" t="s">
        <v>37</v>
      </c>
      <c r="E21" s="286"/>
      <c r="F21" s="287"/>
      <c r="G21" s="287"/>
      <c r="H21" s="288"/>
      <c r="I21" s="17"/>
      <c r="J21" s="17"/>
      <c r="K21" s="17"/>
    </row>
    <row r="22" spans="1:11" ht="18">
      <c r="A22" t="s">
        <v>116</v>
      </c>
      <c r="B22" s="11" t="s">
        <v>111</v>
      </c>
      <c r="C22" s="68">
        <f>'Input Information'!G33</f>
        <v>31</v>
      </c>
      <c r="E22" s="265"/>
      <c r="F22" s="266"/>
      <c r="G22" s="266"/>
      <c r="H22" s="267"/>
      <c r="I22" s="13"/>
      <c r="J22" s="13"/>
      <c r="K22" s="13"/>
    </row>
    <row r="23" spans="1:11">
      <c r="B23" s="11"/>
      <c r="E23" s="13"/>
      <c r="F23" s="13"/>
      <c r="G23" s="13"/>
      <c r="H23" s="13"/>
      <c r="I23" s="13"/>
      <c r="J23" s="13"/>
      <c r="K23" s="13"/>
    </row>
    <row r="24" spans="1:11">
      <c r="A24" s="10" t="s">
        <v>23</v>
      </c>
      <c r="B24" s="11"/>
      <c r="E24" s="13"/>
      <c r="F24" s="13"/>
      <c r="G24" s="13"/>
      <c r="H24" s="13"/>
      <c r="I24" s="13"/>
      <c r="J24" s="13"/>
      <c r="K24" s="13"/>
    </row>
    <row r="25" spans="1:11">
      <c r="A25" s="10"/>
      <c r="B25" s="11"/>
      <c r="E25" s="13"/>
      <c r="F25" s="13"/>
      <c r="G25" s="13"/>
      <c r="H25" s="13"/>
      <c r="I25" s="13"/>
      <c r="J25" s="13"/>
      <c r="K25" s="13"/>
    </row>
    <row r="26" spans="1:11">
      <c r="A26" s="14" t="s">
        <v>34</v>
      </c>
      <c r="B26" s="11"/>
      <c r="E26" s="13"/>
      <c r="F26" s="13"/>
      <c r="G26" s="13"/>
      <c r="H26" s="13"/>
      <c r="I26" s="13"/>
      <c r="J26" s="13"/>
      <c r="K26" s="13"/>
    </row>
    <row r="27" spans="1:11" ht="47.25" customHeight="1">
      <c r="A27" s="28" t="s">
        <v>285</v>
      </c>
      <c r="B27" s="12" t="s">
        <v>26</v>
      </c>
      <c r="C27" s="115">
        <v>0.5</v>
      </c>
      <c r="D27" s="4"/>
      <c r="E27" s="262" t="s">
        <v>239</v>
      </c>
      <c r="F27" s="263"/>
      <c r="G27" s="263"/>
      <c r="H27" s="264"/>
      <c r="I27" s="13"/>
      <c r="J27" s="13"/>
      <c r="K27" s="13"/>
    </row>
    <row r="28" spans="1:11" ht="49.5" customHeight="1">
      <c r="A28" s="28" t="s">
        <v>28</v>
      </c>
      <c r="B28" s="12" t="s">
        <v>29</v>
      </c>
      <c r="C28" s="116">
        <v>20000000</v>
      </c>
      <c r="D28" s="4"/>
      <c r="E28" s="262" t="s">
        <v>240</v>
      </c>
      <c r="F28" s="263"/>
      <c r="G28" s="263"/>
      <c r="H28" s="264"/>
      <c r="I28" s="19"/>
      <c r="J28" s="19"/>
      <c r="K28" s="19"/>
    </row>
    <row r="29" spans="1:11" ht="62.25" customHeight="1">
      <c r="A29" s="29" t="s">
        <v>30</v>
      </c>
      <c r="B29" s="12" t="s">
        <v>32</v>
      </c>
      <c r="C29" s="117">
        <v>0.5</v>
      </c>
      <c r="E29" s="262" t="s">
        <v>160</v>
      </c>
      <c r="F29" s="263"/>
      <c r="G29" s="263"/>
      <c r="H29" s="264"/>
      <c r="I29" s="17"/>
      <c r="J29" s="17"/>
      <c r="K29" s="17"/>
    </row>
    <row r="30" spans="1:11" ht="48" customHeight="1">
      <c r="A30" s="29" t="s">
        <v>256</v>
      </c>
      <c r="B30" s="11" t="s">
        <v>33</v>
      </c>
      <c r="C30" s="56">
        <f>((((1+($C$11/$C$10))^($C$9*$C$10))-1)/(($C$11/$C$10)*((1+($C$11/$C$10))^($C$9*$C$10))))</f>
        <v>17.159086353994443</v>
      </c>
      <c r="E30" s="262" t="s">
        <v>154</v>
      </c>
      <c r="F30" s="263"/>
      <c r="G30" s="263"/>
      <c r="H30" s="264"/>
      <c r="I30" s="17"/>
      <c r="J30" s="17"/>
      <c r="K30" s="17"/>
    </row>
    <row r="31" spans="1:11">
      <c r="A31" s="4"/>
      <c r="B31" s="11"/>
      <c r="E31" s="16"/>
      <c r="F31" s="16"/>
      <c r="G31" s="16"/>
      <c r="H31" s="16"/>
      <c r="I31" s="16"/>
      <c r="J31" s="16"/>
      <c r="K31" s="16"/>
    </row>
    <row r="32" spans="1:11">
      <c r="A32" s="15" t="s">
        <v>99</v>
      </c>
      <c r="B32" s="11"/>
    </row>
    <row r="33" spans="1:11">
      <c r="A33" s="76" t="s">
        <v>155</v>
      </c>
      <c r="B33" s="11"/>
      <c r="C33" s="111">
        <f>C16</f>
        <v>11</v>
      </c>
    </row>
    <row r="34" spans="1:11">
      <c r="A34" s="146" t="s">
        <v>275</v>
      </c>
      <c r="B34" s="11"/>
      <c r="C34" s="111">
        <f>C16+C15-1</f>
        <v>20</v>
      </c>
    </row>
    <row r="35" spans="1:11" ht="46.5" customHeight="1">
      <c r="A35" s="29" t="s">
        <v>234</v>
      </c>
      <c r="B35" s="11"/>
      <c r="C35" s="52">
        <f>C14*(1+$C$12)^C16</f>
        <v>27043391.207583681</v>
      </c>
      <c r="E35" s="268" t="s">
        <v>113</v>
      </c>
      <c r="F35" s="269"/>
      <c r="G35" s="269"/>
      <c r="H35" s="270"/>
    </row>
    <row r="36" spans="1:11" ht="45">
      <c r="A36" s="28" t="s">
        <v>286</v>
      </c>
      <c r="B36" s="11" t="s">
        <v>123</v>
      </c>
      <c r="C36" s="118">
        <v>0.5</v>
      </c>
      <c r="E36" s="31"/>
      <c r="F36" s="31"/>
      <c r="G36" s="31"/>
      <c r="H36" s="31"/>
      <c r="I36" s="17"/>
      <c r="J36" s="17"/>
      <c r="K36" s="17"/>
    </row>
    <row r="37" spans="1:11" ht="33.75">
      <c r="A37" s="28" t="s">
        <v>237</v>
      </c>
      <c r="B37" s="12" t="s">
        <v>29</v>
      </c>
      <c r="C37" s="119">
        <v>0</v>
      </c>
      <c r="E37" s="262" t="s">
        <v>38</v>
      </c>
      <c r="F37" s="263"/>
      <c r="G37" s="263"/>
      <c r="H37" s="264"/>
    </row>
    <row r="38" spans="1:11" ht="68.25" customHeight="1">
      <c r="A38" s="29" t="s">
        <v>235</v>
      </c>
      <c r="B38" s="11" t="s">
        <v>124</v>
      </c>
      <c r="C38" s="120">
        <f>C29</f>
        <v>0.5</v>
      </c>
      <c r="E38" s="262" t="s">
        <v>161</v>
      </c>
      <c r="F38" s="263"/>
      <c r="G38" s="263"/>
      <c r="H38" s="264"/>
      <c r="I38" s="17"/>
      <c r="J38" s="17"/>
      <c r="K38" s="17"/>
    </row>
    <row r="39" spans="1:11" ht="96.75" customHeight="1">
      <c r="A39" s="29" t="s">
        <v>256</v>
      </c>
      <c r="B39" s="11" t="s">
        <v>125</v>
      </c>
      <c r="C39" s="56">
        <f>((((1+($C$11/$C$10))^($C$15*$C$10))-1)/(($C$11/$C$10)*((1+($C$11/$C$10))^($C$15*$C$10))))</f>
        <v>7.7217349291848123</v>
      </c>
      <c r="E39" s="274" t="s">
        <v>276</v>
      </c>
      <c r="F39" s="275"/>
      <c r="G39" s="275"/>
      <c r="H39" s="276"/>
      <c r="I39" s="17"/>
      <c r="J39" s="17"/>
      <c r="K39" s="17"/>
    </row>
    <row r="40" spans="1:11" s="43" customFormat="1">
      <c r="A40" s="70"/>
      <c r="B40" s="41"/>
      <c r="C40" s="71"/>
      <c r="E40" s="265"/>
      <c r="F40" s="266"/>
      <c r="G40" s="266"/>
      <c r="H40" s="267"/>
      <c r="I40" s="45"/>
      <c r="J40" s="45"/>
      <c r="K40" s="45"/>
    </row>
    <row r="41" spans="1:11" s="43" customFormat="1">
      <c r="A41" s="15" t="s">
        <v>126</v>
      </c>
      <c r="B41" s="11"/>
      <c r="C41"/>
      <c r="D41"/>
      <c r="E41" s="72"/>
      <c r="F41" s="72"/>
      <c r="G41" s="72"/>
      <c r="H41" s="72"/>
      <c r="I41" s="45"/>
      <c r="J41" s="45"/>
      <c r="K41" s="45"/>
    </row>
    <row r="42" spans="1:11" s="43" customFormat="1">
      <c r="A42" s="76" t="s">
        <v>155</v>
      </c>
      <c r="B42" s="11"/>
      <c r="C42" s="111">
        <f>C19</f>
        <v>21</v>
      </c>
      <c r="D42"/>
      <c r="E42" s="75"/>
      <c r="F42" s="75"/>
      <c r="G42" s="75"/>
      <c r="H42" s="75"/>
      <c r="I42" s="45"/>
      <c r="J42" s="45"/>
      <c r="K42" s="45"/>
    </row>
    <row r="43" spans="1:11" s="43" customFormat="1">
      <c r="A43" s="146" t="s">
        <v>275</v>
      </c>
      <c r="B43" s="11"/>
      <c r="C43" s="111">
        <f>C19+C18-1</f>
        <v>30</v>
      </c>
      <c r="D43"/>
      <c r="E43" s="75"/>
      <c r="F43" s="75"/>
      <c r="G43" s="75"/>
      <c r="H43" s="75"/>
      <c r="I43" s="45"/>
      <c r="J43" s="45"/>
      <c r="K43" s="45"/>
    </row>
    <row r="44" spans="1:11" s="43" customFormat="1" ht="30">
      <c r="A44" s="29" t="s">
        <v>236</v>
      </c>
      <c r="B44" s="11"/>
      <c r="C44" s="52">
        <f>C17*(1+$C$12)^C19</f>
        <v>32965742.979779787</v>
      </c>
      <c r="D44"/>
      <c r="E44" s="271" t="s">
        <v>127</v>
      </c>
      <c r="F44" s="272"/>
      <c r="G44" s="272"/>
      <c r="H44" s="273"/>
      <c r="I44" s="45"/>
      <c r="J44" s="45"/>
      <c r="K44" s="45"/>
    </row>
    <row r="45" spans="1:11" s="43" customFormat="1" ht="45">
      <c r="A45" s="28" t="s">
        <v>286</v>
      </c>
      <c r="B45" s="11" t="s">
        <v>123</v>
      </c>
      <c r="C45" s="118">
        <v>0.5</v>
      </c>
      <c r="D45"/>
      <c r="E45" s="72"/>
      <c r="F45" s="72"/>
      <c r="G45" s="72"/>
      <c r="H45" s="72"/>
      <c r="I45" s="45"/>
      <c r="J45" s="45"/>
      <c r="K45" s="45"/>
    </row>
    <row r="46" spans="1:11" s="43" customFormat="1" ht="33.75">
      <c r="A46" s="28" t="s">
        <v>237</v>
      </c>
      <c r="B46" s="12" t="s">
        <v>29</v>
      </c>
      <c r="C46" s="119">
        <v>0</v>
      </c>
      <c r="D46"/>
      <c r="E46" s="271" t="s">
        <v>127</v>
      </c>
      <c r="F46" s="272"/>
      <c r="G46" s="272"/>
      <c r="H46" s="273"/>
      <c r="I46" s="45"/>
      <c r="J46" s="45"/>
      <c r="K46" s="45"/>
    </row>
    <row r="47" spans="1:11" s="43" customFormat="1" ht="65.25">
      <c r="A47" s="29" t="s">
        <v>235</v>
      </c>
      <c r="B47" s="11" t="s">
        <v>124</v>
      </c>
      <c r="C47" s="121">
        <f>C38</f>
        <v>0.5</v>
      </c>
      <c r="D47"/>
      <c r="E47" s="271" t="s">
        <v>127</v>
      </c>
      <c r="F47" s="272"/>
      <c r="G47" s="272"/>
      <c r="H47" s="273"/>
      <c r="I47" s="45"/>
      <c r="J47" s="45"/>
      <c r="K47" s="45"/>
    </row>
    <row r="48" spans="1:11" s="43" customFormat="1" ht="18">
      <c r="A48" s="29" t="s">
        <v>233</v>
      </c>
      <c r="B48" s="11" t="s">
        <v>125</v>
      </c>
      <c r="C48" s="56">
        <f>((((1+($C$11/$C$10))^($C$18*$C$10))-1)/(($C$11/$C$10)*((1+($C$11/$C$10))^($C$18*$C$10))))</f>
        <v>7.7217349291848123</v>
      </c>
      <c r="D48"/>
      <c r="E48" s="271" t="s">
        <v>127</v>
      </c>
      <c r="F48" s="272"/>
      <c r="G48" s="272"/>
      <c r="H48" s="273"/>
      <c r="I48" s="45"/>
      <c r="J48" s="45"/>
      <c r="K48" s="45"/>
    </row>
    <row r="49" spans="1:11" s="43" customFormat="1">
      <c r="A49" s="70"/>
      <c r="B49" s="41"/>
      <c r="C49" s="71"/>
      <c r="E49" s="72"/>
      <c r="F49" s="72"/>
      <c r="G49" s="72"/>
      <c r="H49" s="72"/>
      <c r="I49" s="45"/>
      <c r="J49" s="45"/>
      <c r="K49" s="45"/>
    </row>
    <row r="50" spans="1:11" s="43" customFormat="1">
      <c r="A50" s="15" t="s">
        <v>128</v>
      </c>
      <c r="B50" s="11"/>
      <c r="C50"/>
      <c r="D50"/>
      <c r="E50" s="72"/>
      <c r="F50" s="72"/>
      <c r="G50" s="72"/>
      <c r="H50" s="72"/>
      <c r="I50" s="45"/>
      <c r="J50" s="45"/>
      <c r="K50" s="45"/>
    </row>
    <row r="51" spans="1:11" s="43" customFormat="1">
      <c r="A51" s="76" t="s">
        <v>155</v>
      </c>
      <c r="B51" s="11"/>
      <c r="C51" s="111">
        <f>C22</f>
        <v>31</v>
      </c>
      <c r="D51"/>
      <c r="E51" s="75"/>
      <c r="F51" s="75"/>
      <c r="G51" s="75"/>
      <c r="H51" s="75"/>
      <c r="I51" s="45"/>
      <c r="J51" s="45"/>
      <c r="K51" s="45"/>
    </row>
    <row r="52" spans="1:11" s="43" customFormat="1">
      <c r="A52" s="146" t="s">
        <v>275</v>
      </c>
      <c r="B52" s="11"/>
      <c r="C52" s="111">
        <f>C22+C21-1</f>
        <v>40</v>
      </c>
      <c r="D52"/>
      <c r="E52" s="75"/>
      <c r="F52" s="75"/>
      <c r="G52" s="75"/>
      <c r="H52" s="75"/>
      <c r="I52" s="45"/>
      <c r="J52" s="45"/>
      <c r="K52" s="45"/>
    </row>
    <row r="53" spans="1:11" s="43" customFormat="1" ht="30">
      <c r="A53" s="29" t="s">
        <v>236</v>
      </c>
      <c r="B53" s="11"/>
      <c r="C53" s="52">
        <f>C20*(1+$C$12)^C22</f>
        <v>40185056.743332885</v>
      </c>
      <c r="D53"/>
      <c r="E53" s="271" t="s">
        <v>127</v>
      </c>
      <c r="F53" s="272"/>
      <c r="G53" s="272"/>
      <c r="H53" s="273"/>
      <c r="I53" s="45"/>
      <c r="J53" s="45"/>
      <c r="K53" s="45"/>
    </row>
    <row r="54" spans="1:11" s="43" customFormat="1" ht="45">
      <c r="A54" s="28" t="s">
        <v>286</v>
      </c>
      <c r="B54" s="11" t="s">
        <v>123</v>
      </c>
      <c r="C54" s="118">
        <v>0.5</v>
      </c>
      <c r="D54"/>
      <c r="E54" s="72"/>
      <c r="F54" s="72"/>
      <c r="G54" s="72"/>
      <c r="H54" s="72"/>
      <c r="I54" s="45"/>
      <c r="J54" s="45"/>
      <c r="K54" s="45"/>
    </row>
    <row r="55" spans="1:11" s="43" customFormat="1" ht="33.75">
      <c r="A55" s="28" t="s">
        <v>237</v>
      </c>
      <c r="B55" s="12" t="s">
        <v>29</v>
      </c>
      <c r="C55" s="119">
        <v>0</v>
      </c>
      <c r="D55"/>
      <c r="E55" s="271" t="s">
        <v>127</v>
      </c>
      <c r="F55" s="272"/>
      <c r="G55" s="272"/>
      <c r="H55" s="273"/>
      <c r="I55" s="45"/>
      <c r="J55" s="45"/>
      <c r="K55" s="45"/>
    </row>
    <row r="56" spans="1:11" s="43" customFormat="1" ht="65.25">
      <c r="A56" s="29" t="s">
        <v>235</v>
      </c>
      <c r="B56" s="11" t="s">
        <v>124</v>
      </c>
      <c r="C56" s="121">
        <f>C47</f>
        <v>0.5</v>
      </c>
      <c r="D56"/>
      <c r="E56" s="271" t="s">
        <v>127</v>
      </c>
      <c r="F56" s="272"/>
      <c r="G56" s="272"/>
      <c r="H56" s="273"/>
      <c r="I56" s="45"/>
      <c r="J56" s="45"/>
      <c r="K56" s="45"/>
    </row>
    <row r="57" spans="1:11" s="43" customFormat="1" ht="30">
      <c r="A57" s="29" t="s">
        <v>256</v>
      </c>
      <c r="B57" s="11" t="s">
        <v>125</v>
      </c>
      <c r="C57" s="56">
        <f>((((1+($C$11/$C$10))^($C$21*$C$10))-1)/(($C$11/$C$10)*((1+($C$11/$C$10))^($C$21*$C$10))))</f>
        <v>7.7217349291848123</v>
      </c>
      <c r="D57"/>
      <c r="E57" s="271" t="s">
        <v>127</v>
      </c>
      <c r="F57" s="272"/>
      <c r="G57" s="272"/>
      <c r="H57" s="273"/>
      <c r="I57" s="45"/>
      <c r="J57" s="45"/>
      <c r="K57" s="45"/>
    </row>
    <row r="58" spans="1:11" s="43" customFormat="1" ht="15.75" thickBot="1">
      <c r="A58" s="70"/>
      <c r="B58" s="41"/>
      <c r="C58" s="71"/>
      <c r="E58" s="72"/>
      <c r="F58" s="72"/>
      <c r="G58" s="72"/>
      <c r="H58" s="72"/>
      <c r="I58" s="45"/>
      <c r="J58" s="45"/>
      <c r="K58" s="45"/>
    </row>
    <row r="59" spans="1:11" ht="15" customHeight="1">
      <c r="B59" s="259" t="s">
        <v>156</v>
      </c>
      <c r="C59" s="260"/>
      <c r="D59" s="260"/>
      <c r="E59" s="260"/>
      <c r="F59" s="260"/>
      <c r="G59" s="261"/>
      <c r="H59" s="39"/>
      <c r="I59" s="24"/>
    </row>
    <row r="60" spans="1:11">
      <c r="B60" s="78" t="s">
        <v>68</v>
      </c>
      <c r="C60" s="79" t="s">
        <v>0</v>
      </c>
      <c r="D60" s="79" t="s">
        <v>66</v>
      </c>
      <c r="E60" s="79" t="str">
        <f>"Costs ("&amp;B63&amp;" €)"</f>
        <v>Costs (2012 €)</v>
      </c>
      <c r="F60" s="79" t="s">
        <v>67</v>
      </c>
      <c r="G60" s="80" t="s">
        <v>43</v>
      </c>
      <c r="H60" s="7"/>
      <c r="I60" s="7"/>
    </row>
    <row r="61" spans="1:11">
      <c r="B61" s="78" t="s">
        <v>3</v>
      </c>
      <c r="C61" s="79"/>
      <c r="D61" s="81">
        <f>SUM(D64:D103)</f>
        <v>285949016.34847146</v>
      </c>
      <c r="E61" s="81">
        <f>SUM(E64:E103)</f>
        <v>192727811.78329057</v>
      </c>
      <c r="F61" s="81">
        <f>SUM(F64:F103)</f>
        <v>118331163.5026398</v>
      </c>
      <c r="G61" s="82"/>
      <c r="H61" s="22"/>
      <c r="I61" s="22"/>
    </row>
    <row r="62" spans="1:11">
      <c r="B62" s="83"/>
      <c r="C62" s="84"/>
      <c r="D62" s="84"/>
      <c r="E62" s="84"/>
      <c r="F62" s="84"/>
      <c r="G62" s="85"/>
      <c r="H62" s="7"/>
      <c r="I62" s="7"/>
    </row>
    <row r="63" spans="1:11">
      <c r="B63" s="86">
        <f>'Input Information'!G18</f>
        <v>2012</v>
      </c>
      <c r="C63" s="87">
        <v>0</v>
      </c>
      <c r="D63" s="88"/>
      <c r="E63" s="88"/>
      <c r="F63" s="88"/>
      <c r="G63" s="89"/>
      <c r="H63" s="1"/>
      <c r="I63" s="1"/>
    </row>
    <row r="64" spans="1:11">
      <c r="B64" s="86">
        <f t="shared" ref="B64:C79" si="0">B63+1</f>
        <v>2013</v>
      </c>
      <c r="C64" s="87">
        <f t="shared" si="0"/>
        <v>1</v>
      </c>
      <c r="D64" s="90">
        <f>IF(G64="inf/ref1/ref2/ref3",(((($C$8*(1-$C$27)*$C$29)/$C$30)*$C$10)+((($C$35*(1-$C$36)*$C$38)/$C$39)*$C$10)+((($C$44*(1-$C$45)*$C$47)/$C$48)*$C$10)+((($C$53*(1-$C$54)*$C$56)/$C$57)*$C$10)), IF(G64="inf/ref1/ref2",(((($C$8*(1-$C$27)*$C$29)/$C$30)*$C$10)+((($C$35*(1-$C$36)*$C$38)/$C$39)*$C$10)+((($C$44*(1-$C$45)*$C$47)/$C$48)*$C$10)), IF(G64="inf/ref1/ref3",(((($C$8*(1-$C$27)*$C$29)/$C$30)*$C$10)+((($C$35*(1-$C$36)*$C$38)/$C$39)*$C$10)+ ((($C$53*(1-$C$54)*$C$56)/$C$57)*$C$10)),IF(G64="inf/ref2/ref3",(((($C$8*(1-$C$27)*$C$29)/$C$30)*$C$10)+ ((($C$44*(1-$C$45)*$C$47)/$C$48)*$C$10)+((($C$53*(1-$C$54)*$C$56)/$C$57)*$C$10)), IF(G64="inf/ref1",(((($C$8*(1-$C$27)*$C$29)/$C$30)*$C$10)+((($C$35*(1-$C$36)*$C$38)/$C$39)*$C$10)), IF(G64="inf/ref2",(((($C$8*(1-$C$27)*$C$29)/$C$30)*$C$10)+((($C$44*(1-$C$45)*$C$47)/$C$48)*$C$10)), IF(G64="inf/ref3", (((($C$8*(1-$C$27)*$C$29)/$C$30)*$C$10)+((($C$53*(1-$C$54)*$C$56)/$C$57)*$C$10)), ((($C$8*(1-$C$27)*$C$29)/$C$30)*$C$10))))))))</f>
        <v>6337750.0268063061</v>
      </c>
      <c r="E64" s="88">
        <f>D64/((1+$C$12)^(C64))</f>
        <v>6213480.4184375545</v>
      </c>
      <c r="F64" s="88">
        <f>E64/((1+$C$13)^(C64))</f>
        <v>6035952.4064821955</v>
      </c>
      <c r="G64" s="91" t="str">
        <f>IF(AND(C64&gt;=$C$33,C64&lt;=$C$34,C64&gt;=$C$42,C64&lt;=$C$43,C64&gt;=$C$51,C64&lt;=$C$52),"inf/ref1/ref2/ref3",IF(AND(C64&gt;=$C$33,C64&lt;=$C$34,C64&gt;=$C$42,C64&lt;=$C$43),"inf/ref1/ref2",IF(AND(C64&gt;=$C$33,C64&lt;=$C$34,C64&gt;=$C$51,C64&lt;=$C$52),"inf/ref1/ref3", IF(AND(C64&gt;=$C$42,C64&lt;=$C$43,C64&gt;=$C$51,C64&lt;=$C$52),"inf/ref2/ref3",IF(AND(C64&gt;=$C$33,C64&lt;=$C$34),"inf/ref1",IF(AND(C64&gt;=$C$42,C64&lt;=$C$43),"inf/ref2",IF(AND(C64&gt;=$C$51,C64&lt;=$C$52),"inf/ref3","inf")))))))</f>
        <v>inf</v>
      </c>
      <c r="H64" s="1"/>
      <c r="I64" s="23"/>
    </row>
    <row r="65" spans="2:9">
      <c r="B65" s="86">
        <f t="shared" si="0"/>
        <v>2014</v>
      </c>
      <c r="C65" s="87">
        <f t="shared" si="0"/>
        <v>2</v>
      </c>
      <c r="D65" s="90">
        <f t="shared" ref="D65:D103" si="1">IF(G65="inf/ref1/ref2/ref3",(((($C$8*(1-$C$27)*$C$29)/$C$30)*$C$10)+((($C$35*(1-$C$36)*$C$38)/$C$39)*$C$10)+((($C$44*(1-$C$45)*$C$47)/$C$48)*$C$10)+((($C$53*(1-$C$54)*$C$56)/$C$57)*$C$10)), IF(G65="inf/ref1/ref2",(((($C$8*(1-$C$27)*$C$29)/$C$30)*$C$10)+((($C$35*(1-$C$36)*$C$38)/$C$39)*$C$10)+((($C$44*(1-$C$45)*$C$47)/$C$48)*$C$10)), IF(G65="inf/ref1/ref3",(((($C$8*(1-$C$27)*$C$29)/$C$30)*$C$10)+((($C$35*(1-$C$36)*$C$38)/$C$39)*$C$10)+ ((($C$53*(1-$C$54)*$C$56)/$C$57)*$C$10)),IF(G65="inf/ref2/ref3",(((($C$8*(1-$C$27)*$C$29)/$C$30)*$C$10)+ ((($C$44*(1-$C$45)*$C$47)/$C$48)*$C$10)+((($C$53*(1-$C$54)*$C$56)/$C$57)*$C$10)), IF(G65="inf/ref1",(((($C$8*(1-$C$27)*$C$29)/$C$30)*$C$10)+((($C$35*(1-$C$36)*$C$38)/$C$39)*$C$10)), IF(G65="inf/ref2",(((($C$8*(1-$C$27)*$C$29)/$C$30)*$C$10)+((($C$44*(1-$C$45)*$C$47)/$C$48)*$C$10)), IF(G65="inf/ref3", (((($C$8*(1-$C$27)*$C$29)/$C$30)*$C$10)+((($C$53*(1-$C$54)*$C$56)/$C$57)*$C$10)), ((($C$8*(1-$C$27)*$C$29)/$C$30)*$C$10))))))))</f>
        <v>6337750.0268063061</v>
      </c>
      <c r="E65" s="88">
        <f t="shared" ref="E65:E103" si="2">D65/((1+$C$12)^(C65))</f>
        <v>6091647.4690564265</v>
      </c>
      <c r="F65" s="88">
        <f t="shared" ref="F65:F103" si="3">E65/((1+$C$13)^(C65))</f>
        <v>5748526.1014116146</v>
      </c>
      <c r="G65" s="91" t="str">
        <f t="shared" ref="G65:G103" si="4">IF(AND(C65&gt;=$C$33,C65&lt;=$C$34,C65&gt;=$C$42,C65&lt;=$C$43,C65&gt;=$C$51,C65&lt;=$C$52),"inf/ref1/ref2/ref3",IF(AND(C65&gt;=$C$33,C65&lt;=$C$34,C65&gt;=$C$42,C65&lt;=$C$43),"inf/ref1/ref2",IF(AND(C65&gt;=$C$33,C65&lt;=$C$34,C65&gt;=$C$51,C65&lt;=$C$52),"inf/ref1/ref3", IF(AND(C65&gt;=$C$42,C65&lt;=$C$43,C65&gt;=$C$51,C65&lt;=$C$52),"inf/ref2/ref3",IF(AND(C65&gt;=$C$33,C65&lt;=$C$34),"inf/ref1",IF(AND(C65&gt;=$C$42,C65&lt;=$C$43),"inf/ref2",IF(AND(C65&gt;=$C$51,C65&lt;=$C$52),"inf/ref3","inf")))))))</f>
        <v>inf</v>
      </c>
      <c r="H65" s="1"/>
      <c r="I65" s="23"/>
    </row>
    <row r="66" spans="2:9">
      <c r="B66" s="86">
        <f t="shared" si="0"/>
        <v>2015</v>
      </c>
      <c r="C66" s="87">
        <f t="shared" si="0"/>
        <v>3</v>
      </c>
      <c r="D66" s="90">
        <f t="shared" si="1"/>
        <v>6337750.0268063061</v>
      </c>
      <c r="E66" s="88">
        <f t="shared" si="2"/>
        <v>5972203.401035713</v>
      </c>
      <c r="F66" s="88">
        <f t="shared" si="3"/>
        <v>5474786.763249157</v>
      </c>
      <c r="G66" s="91" t="str">
        <f t="shared" si="4"/>
        <v>inf</v>
      </c>
      <c r="H66" s="1"/>
      <c r="I66" s="23"/>
    </row>
    <row r="67" spans="2:9">
      <c r="B67" s="86">
        <f t="shared" si="0"/>
        <v>2016</v>
      </c>
      <c r="C67" s="87">
        <f t="shared" si="0"/>
        <v>4</v>
      </c>
      <c r="D67" s="90">
        <f t="shared" si="1"/>
        <v>6337750.0268063061</v>
      </c>
      <c r="E67" s="88">
        <f t="shared" si="2"/>
        <v>5855101.373564424</v>
      </c>
      <c r="F67" s="88">
        <f t="shared" si="3"/>
        <v>5214082.6316658622</v>
      </c>
      <c r="G67" s="91" t="str">
        <f t="shared" si="4"/>
        <v>inf</v>
      </c>
      <c r="H67" s="1"/>
      <c r="I67" s="23"/>
    </row>
    <row r="68" spans="2:9">
      <c r="B68" s="86">
        <f t="shared" si="0"/>
        <v>2017</v>
      </c>
      <c r="C68" s="87">
        <f t="shared" si="0"/>
        <v>5</v>
      </c>
      <c r="D68" s="90">
        <f t="shared" si="1"/>
        <v>6337750.0268063061</v>
      </c>
      <c r="E68" s="88">
        <f t="shared" si="2"/>
        <v>5740295.464278847</v>
      </c>
      <c r="F68" s="88">
        <f t="shared" si="3"/>
        <v>4965792.9825389162</v>
      </c>
      <c r="G68" s="91" t="str">
        <f t="shared" si="4"/>
        <v>inf</v>
      </c>
      <c r="H68" s="1"/>
      <c r="I68" s="23"/>
    </row>
    <row r="69" spans="2:9">
      <c r="B69" s="86">
        <f t="shared" si="0"/>
        <v>2018</v>
      </c>
      <c r="C69" s="87">
        <f t="shared" si="0"/>
        <v>6</v>
      </c>
      <c r="D69" s="90">
        <f t="shared" si="1"/>
        <v>6337750.0268063061</v>
      </c>
      <c r="E69" s="88">
        <f t="shared" si="2"/>
        <v>5627740.651253771</v>
      </c>
      <c r="F69" s="88">
        <f t="shared" si="3"/>
        <v>4729326.6500370624</v>
      </c>
      <c r="G69" s="91" t="str">
        <f t="shared" si="4"/>
        <v>inf</v>
      </c>
      <c r="H69" s="1"/>
      <c r="I69" s="23"/>
    </row>
    <row r="70" spans="2:9">
      <c r="B70" s="86">
        <f t="shared" si="0"/>
        <v>2019</v>
      </c>
      <c r="C70" s="87">
        <f t="shared" si="0"/>
        <v>7</v>
      </c>
      <c r="D70" s="90">
        <f t="shared" si="1"/>
        <v>6337750.0268063061</v>
      </c>
      <c r="E70" s="88">
        <f t="shared" si="2"/>
        <v>5517392.7953468356</v>
      </c>
      <c r="F70" s="88">
        <f t="shared" si="3"/>
        <v>4504120.6190829175</v>
      </c>
      <c r="G70" s="91" t="str">
        <f t="shared" si="4"/>
        <v>inf</v>
      </c>
      <c r="H70" s="1"/>
      <c r="I70" s="23"/>
    </row>
    <row r="71" spans="2:9">
      <c r="B71" s="86">
        <f t="shared" si="0"/>
        <v>2020</v>
      </c>
      <c r="C71" s="87">
        <f t="shared" si="0"/>
        <v>8</v>
      </c>
      <c r="D71" s="90">
        <f t="shared" si="1"/>
        <v>6337750.0268063061</v>
      </c>
      <c r="E71" s="88">
        <f t="shared" si="2"/>
        <v>5409208.622889054</v>
      </c>
      <c r="F71" s="88">
        <f t="shared" si="3"/>
        <v>4289638.6848408729</v>
      </c>
      <c r="G71" s="91" t="str">
        <f t="shared" si="4"/>
        <v>inf</v>
      </c>
      <c r="H71" s="1"/>
      <c r="I71" s="23"/>
    </row>
    <row r="72" spans="2:9">
      <c r="B72" s="86">
        <f t="shared" si="0"/>
        <v>2021</v>
      </c>
      <c r="C72" s="87">
        <f t="shared" si="0"/>
        <v>9</v>
      </c>
      <c r="D72" s="90">
        <f t="shared" si="1"/>
        <v>6337750.0268063061</v>
      </c>
      <c r="E72" s="88">
        <f t="shared" si="2"/>
        <v>5303145.708714759</v>
      </c>
      <c r="F72" s="88">
        <f t="shared" si="3"/>
        <v>4085370.176038926</v>
      </c>
      <c r="G72" s="91" t="str">
        <f t="shared" si="4"/>
        <v>inf</v>
      </c>
      <c r="H72" s="1"/>
      <c r="I72" s="23"/>
    </row>
    <row r="73" spans="2:9">
      <c r="B73" s="86">
        <f t="shared" si="0"/>
        <v>2022</v>
      </c>
      <c r="C73" s="87">
        <f t="shared" si="0"/>
        <v>10</v>
      </c>
      <c r="D73" s="90">
        <f t="shared" si="1"/>
        <v>6337750.0268063061</v>
      </c>
      <c r="E73" s="88">
        <f t="shared" si="2"/>
        <v>5199162.4595242729</v>
      </c>
      <c r="F73" s="88">
        <f t="shared" si="3"/>
        <v>3890828.7390846908</v>
      </c>
      <c r="G73" s="91" t="str">
        <f t="shared" si="4"/>
        <v>inf</v>
      </c>
      <c r="H73" s="1"/>
      <c r="I73" s="23"/>
    </row>
    <row r="74" spans="2:9">
      <c r="B74" s="86">
        <f t="shared" si="0"/>
        <v>2023</v>
      </c>
      <c r="C74" s="87">
        <f t="shared" si="0"/>
        <v>11</v>
      </c>
      <c r="D74" s="90">
        <f t="shared" si="1"/>
        <v>7213310.7477969797</v>
      </c>
      <c r="E74" s="88">
        <f t="shared" si="2"/>
        <v>5801399.2239474887</v>
      </c>
      <c r="F74" s="88">
        <f t="shared" si="3"/>
        <v>4217473.3999814931</v>
      </c>
      <c r="G74" s="91" t="str">
        <f t="shared" si="4"/>
        <v>inf/ref1</v>
      </c>
      <c r="H74" s="1"/>
      <c r="I74" s="23"/>
    </row>
    <row r="75" spans="2:9">
      <c r="B75" s="86">
        <f t="shared" si="0"/>
        <v>2024</v>
      </c>
      <c r="C75" s="87">
        <f t="shared" si="0"/>
        <v>12</v>
      </c>
      <c r="D75" s="90">
        <f>IF(G75="inf/ref1/ref2/ref3",(((($C$8*(1-$C$27)*$C$29)/$C$30)*$C$10)+((($C$35*(1-$C$36)*$C$38)/$C$39)*$C$10)+((($C$44*(1-$C$45)*$C$47)/$C$48)*$C$10)+((($C$53*(1-$C$54)*$C$56)/$C$57)*$C$10)), IF(G75="inf/ref1/ref2",(((($C$8*(1-$C$27)*$C$29)/$C$30)*$C$10)+((($C$35*(1-$C$36)*$C$38)/$C$39)*$C$10)+((($C$44*(1-$C$45)*$C$47)/$C$48)*$C$10)), IF(G75="inf/ref1/ref3",(((($C$8*(1-$C$27)*$C$29)/$C$30)*$C$10)+((($C$35*(1-$C$36)*$C$38)/$C$39)*$C$10)+ ((($C$53*(1-$C$54)*$C$56)/$C$57)*$C$10)),IF(G75="inf/ref2/ref3",(((($C$8*(1-$C$27)*$C$29)/$C$30)*$C$10)+ ((($C$44*(1-$C$45)*$C$47)/$C$48)*$C$10)+((($C$53*(1-$C$54)*$C$56)/$C$57)*$C$10)), IF(G75="inf/ref1",(((($C$8*(1-$C$27)*$C$29)/$C$30)*$C$10)+((($C$35*(1-$C$36)*$C$38)/$C$39)*$C$10)), IF(G75="inf/ref2",(((($C$8*(1-$C$27)*$C$29)/$C$30)*$C$10)+((($C$44*(1-$C$45)*$C$47)/$C$48)*$C$10)), IF(G75="inf/ref3", (((($C$8*(1-$C$27)*$C$29)/$C$30)*$C$10)+((($C$53*(1-$C$54)*$C$56)/$C$57)*$C$10)), ((($C$8*(1-$C$27)*$C$29)/$C$30)*$C$10))))))))</f>
        <v>7213310.7477969797</v>
      </c>
      <c r="E75" s="88">
        <f t="shared" si="2"/>
        <v>5687646.297987733</v>
      </c>
      <c r="F75" s="88">
        <f t="shared" si="3"/>
        <v>4016641.3333157068</v>
      </c>
      <c r="G75" s="91" t="str">
        <f t="shared" si="4"/>
        <v>inf/ref1</v>
      </c>
      <c r="H75" s="1"/>
      <c r="I75" s="23"/>
    </row>
    <row r="76" spans="2:9">
      <c r="B76" s="86">
        <f t="shared" si="0"/>
        <v>2025</v>
      </c>
      <c r="C76" s="87">
        <f t="shared" si="0"/>
        <v>13</v>
      </c>
      <c r="D76" s="90">
        <f t="shared" si="1"/>
        <v>7213310.7477969797</v>
      </c>
      <c r="E76" s="88">
        <f t="shared" si="2"/>
        <v>5576123.8215566017</v>
      </c>
      <c r="F76" s="88">
        <f t="shared" si="3"/>
        <v>3825372.6983959111</v>
      </c>
      <c r="G76" s="91" t="str">
        <f t="shared" si="4"/>
        <v>inf/ref1</v>
      </c>
      <c r="H76" s="1"/>
      <c r="I76" s="23"/>
    </row>
    <row r="77" spans="2:9">
      <c r="B77" s="86">
        <f t="shared" si="0"/>
        <v>2026</v>
      </c>
      <c r="C77" s="87">
        <f t="shared" si="0"/>
        <v>14</v>
      </c>
      <c r="D77" s="90">
        <f t="shared" si="1"/>
        <v>7213310.7477969797</v>
      </c>
      <c r="E77" s="88">
        <f t="shared" si="2"/>
        <v>5466788.0603496088</v>
      </c>
      <c r="F77" s="88">
        <f t="shared" si="3"/>
        <v>3643212.0937103909</v>
      </c>
      <c r="G77" s="91" t="str">
        <f t="shared" si="4"/>
        <v>inf/ref1</v>
      </c>
      <c r="H77" s="1"/>
      <c r="I77" s="23"/>
    </row>
    <row r="78" spans="2:9">
      <c r="B78" s="86">
        <f t="shared" si="0"/>
        <v>2027</v>
      </c>
      <c r="C78" s="87">
        <f t="shared" si="0"/>
        <v>15</v>
      </c>
      <c r="D78" s="90">
        <f t="shared" si="1"/>
        <v>7213310.7477969797</v>
      </c>
      <c r="E78" s="88">
        <f t="shared" si="2"/>
        <v>5359596.1375976568</v>
      </c>
      <c r="F78" s="88">
        <f t="shared" si="3"/>
        <v>3469725.8035337063</v>
      </c>
      <c r="G78" s="91" t="str">
        <f t="shared" si="4"/>
        <v>inf/ref1</v>
      </c>
      <c r="H78" s="1"/>
      <c r="I78" s="23"/>
    </row>
    <row r="79" spans="2:9">
      <c r="B79" s="86">
        <f t="shared" si="0"/>
        <v>2028</v>
      </c>
      <c r="C79" s="87">
        <f t="shared" si="0"/>
        <v>16</v>
      </c>
      <c r="D79" s="90">
        <f t="shared" si="1"/>
        <v>7213310.7477969797</v>
      </c>
      <c r="E79" s="88">
        <f t="shared" si="2"/>
        <v>5254506.0172526045</v>
      </c>
      <c r="F79" s="88">
        <f t="shared" si="3"/>
        <v>3304500.7652701964</v>
      </c>
      <c r="G79" s="91" t="str">
        <f t="shared" si="4"/>
        <v>inf/ref1</v>
      </c>
      <c r="H79" s="1"/>
      <c r="I79" s="23"/>
    </row>
    <row r="80" spans="2:9">
      <c r="B80" s="86">
        <f t="shared" ref="B80:C95" si="5">B79+1</f>
        <v>2029</v>
      </c>
      <c r="C80" s="87">
        <f t="shared" si="5"/>
        <v>17</v>
      </c>
      <c r="D80" s="90">
        <f t="shared" si="1"/>
        <v>7213310.7477969797</v>
      </c>
      <c r="E80" s="88">
        <f t="shared" si="2"/>
        <v>5151476.4875025526</v>
      </c>
      <c r="F80" s="88">
        <f t="shared" si="3"/>
        <v>3147143.5859716143</v>
      </c>
      <c r="G80" s="91" t="str">
        <f t="shared" si="4"/>
        <v>inf/ref1</v>
      </c>
      <c r="H80" s="1"/>
      <c r="I80" s="23"/>
    </row>
    <row r="81" spans="2:9">
      <c r="B81" s="86">
        <f t="shared" si="5"/>
        <v>2030</v>
      </c>
      <c r="C81" s="87">
        <f t="shared" si="5"/>
        <v>18</v>
      </c>
      <c r="D81" s="90">
        <f t="shared" si="1"/>
        <v>7213310.7477969797</v>
      </c>
      <c r="E81" s="88">
        <f t="shared" si="2"/>
        <v>5050467.1446103463</v>
      </c>
      <c r="F81" s="88">
        <f t="shared" si="3"/>
        <v>2997279.6056872518</v>
      </c>
      <c r="G81" s="91" t="str">
        <f t="shared" si="4"/>
        <v>inf/ref1</v>
      </c>
      <c r="H81" s="1"/>
      <c r="I81" s="23"/>
    </row>
    <row r="82" spans="2:9">
      <c r="B82" s="86">
        <f t="shared" si="5"/>
        <v>2031</v>
      </c>
      <c r="C82" s="87">
        <f t="shared" si="5"/>
        <v>19</v>
      </c>
      <c r="D82" s="90">
        <f t="shared" si="1"/>
        <v>7213310.7477969797</v>
      </c>
      <c r="E82" s="88">
        <f t="shared" si="2"/>
        <v>4951438.3770689666</v>
      </c>
      <c r="F82" s="88">
        <f t="shared" si="3"/>
        <v>2854552.0054164301</v>
      </c>
      <c r="G82" s="91" t="str">
        <f t="shared" si="4"/>
        <v>inf/ref1</v>
      </c>
      <c r="H82" s="1"/>
      <c r="I82" s="23"/>
    </row>
    <row r="83" spans="2:9">
      <c r="B83" s="86">
        <f t="shared" si="5"/>
        <v>2032</v>
      </c>
      <c r="C83" s="87">
        <f t="shared" si="5"/>
        <v>20</v>
      </c>
      <c r="D83" s="90">
        <f t="shared" si="1"/>
        <v>7213310.7477969797</v>
      </c>
      <c r="E83" s="88">
        <f t="shared" si="2"/>
        <v>4854351.3500676146</v>
      </c>
      <c r="F83" s="88">
        <f t="shared" si="3"/>
        <v>2718620.9575394569</v>
      </c>
      <c r="G83" s="91" t="str">
        <f t="shared" si="4"/>
        <v>inf/ref1</v>
      </c>
      <c r="H83" s="1"/>
      <c r="I83" s="23"/>
    </row>
    <row r="84" spans="2:9">
      <c r="B84" s="86">
        <f t="shared" si="5"/>
        <v>2033</v>
      </c>
      <c r="C84" s="87">
        <f t="shared" si="5"/>
        <v>21</v>
      </c>
      <c r="D84" s="90">
        <f t="shared" si="1"/>
        <v>7405053.6600605231</v>
      </c>
      <c r="E84" s="88">
        <f t="shared" si="2"/>
        <v>4885675.3268114049</v>
      </c>
      <c r="F84" s="88">
        <f t="shared" si="3"/>
        <v>2657987.471035264</v>
      </c>
      <c r="G84" s="91" t="str">
        <f t="shared" si="4"/>
        <v>inf/ref2</v>
      </c>
      <c r="H84" s="1"/>
      <c r="I84" s="23"/>
    </row>
    <row r="85" spans="2:9">
      <c r="B85" s="86">
        <f t="shared" si="5"/>
        <v>2034</v>
      </c>
      <c r="C85" s="87">
        <f t="shared" si="5"/>
        <v>22</v>
      </c>
      <c r="D85" s="90">
        <f>IF(G85="inf/ref1/ref2/ref3",(((($C$8*(1-$C$27)*$C$29)/$C$30)*$C$10)+((($C$35*(1-$C$36)*$C$38)/$C$39)*$C$10)+((($C$44*(1-$C$45)*$C$47)/$C$48)*$C$10)+((($C$53*(1-$C$54)*$C$56)/$C$57)*$C$10)), IF(G85="inf/ref1/ref2",(((($C$8*(1-$C$27)*$C$29)/$C$30)*$C$10)+((($C$35*(1-$C$36)*$C$38)/$C$39)*$C$10)+((($C$44*(1-$C$45)*$C$47)/$C$48)*$C$10)), IF(G85="inf/ref1/ref3",(((($C$8*(1-$C$27)*$C$29)/$C$30)*$C$10)+((($C$35*(1-$C$36)*$C$38)/$C$39)*$C$10)+ ((($C$53*(1-$C$54)*$C$56)/$C$57)*$C$10)),IF(G85="inf/ref2/ref3",(((($C$8*(1-$C$27)*$C$29)/$C$30)*$C$10)+ ((($C$44*(1-$C$45)*$C$47)/$C$48)*$C$10)+((($C$53*(1-$C$54)*$C$56)/$C$57)*$C$10)), IF(G85="inf/ref1",(((($C$8*(1-$C$27)*$C$29)/$C$30)*$C$10)+((($C$35*(1-$C$36)*$C$38)/$C$39)*$C$10)), IF(G85="inf/ref2",(((($C$8*(1-$C$27)*$C$29)/$C$30)*$C$10)+((($C$44*(1-$C$45)*$C$47)/$C$48)*$C$10)), IF(G85="inf/ref3", (((($C$8*(1-$C$27)*$C$29)/$C$30)*$C$10)+((($C$53*(1-$C$54)*$C$56)/$C$57)*$C$10)), ((($C$8*(1-$C$27)*$C$29)/$C$30)*$C$10))))))))</f>
        <v>7405053.6600605231</v>
      </c>
      <c r="E85" s="88">
        <f t="shared" si="2"/>
        <v>4789877.7713837298</v>
      </c>
      <c r="F85" s="88">
        <f t="shared" si="3"/>
        <v>2531416.6390812029</v>
      </c>
      <c r="G85" s="91" t="str">
        <f t="shared" si="4"/>
        <v>inf/ref2</v>
      </c>
      <c r="H85" s="1"/>
      <c r="I85" s="23"/>
    </row>
    <row r="86" spans="2:9">
      <c r="B86" s="86">
        <f t="shared" si="5"/>
        <v>2035</v>
      </c>
      <c r="C86" s="87">
        <f t="shared" si="5"/>
        <v>23</v>
      </c>
      <c r="D86" s="90">
        <f t="shared" si="1"/>
        <v>7405053.6600605231</v>
      </c>
      <c r="E86" s="88">
        <f t="shared" si="2"/>
        <v>4695958.5993958144</v>
      </c>
      <c r="F86" s="88">
        <f t="shared" si="3"/>
        <v>2410872.989601146</v>
      </c>
      <c r="G86" s="91" t="str">
        <f t="shared" si="4"/>
        <v>inf/ref2</v>
      </c>
      <c r="H86" s="1"/>
      <c r="I86" s="23"/>
    </row>
    <row r="87" spans="2:9">
      <c r="B87" s="86">
        <f t="shared" si="5"/>
        <v>2036</v>
      </c>
      <c r="C87" s="87">
        <f t="shared" si="5"/>
        <v>24</v>
      </c>
      <c r="D87" s="90">
        <f t="shared" si="1"/>
        <v>7405053.6600605231</v>
      </c>
      <c r="E87" s="88">
        <f t="shared" si="2"/>
        <v>4603880.9797998182</v>
      </c>
      <c r="F87" s="88">
        <f t="shared" si="3"/>
        <v>2296069.513905853</v>
      </c>
      <c r="G87" s="91" t="str">
        <f t="shared" si="4"/>
        <v>inf/ref2</v>
      </c>
      <c r="H87" s="1"/>
      <c r="I87" s="23"/>
    </row>
    <row r="88" spans="2:9">
      <c r="B88" s="86">
        <f t="shared" si="5"/>
        <v>2037</v>
      </c>
      <c r="C88" s="87">
        <f t="shared" si="5"/>
        <v>25</v>
      </c>
      <c r="D88" s="90">
        <f t="shared" si="1"/>
        <v>7405053.6600605231</v>
      </c>
      <c r="E88" s="88">
        <f t="shared" si="2"/>
        <v>4513608.8037253115</v>
      </c>
      <c r="F88" s="88">
        <f t="shared" si="3"/>
        <v>2186732.8703865265</v>
      </c>
      <c r="G88" s="91" t="str">
        <f t="shared" si="4"/>
        <v>inf/ref2</v>
      </c>
      <c r="H88" s="1"/>
      <c r="I88" s="23"/>
    </row>
    <row r="89" spans="2:9">
      <c r="B89" s="86">
        <f t="shared" si="5"/>
        <v>2038</v>
      </c>
      <c r="C89" s="87">
        <f t="shared" si="5"/>
        <v>26</v>
      </c>
      <c r="D89" s="90">
        <f t="shared" si="1"/>
        <v>7405053.6600605231</v>
      </c>
      <c r="E89" s="88">
        <f t="shared" si="2"/>
        <v>4425106.6703189323</v>
      </c>
      <c r="F89" s="88">
        <f t="shared" si="3"/>
        <v>2082602.7337014531</v>
      </c>
      <c r="G89" s="91" t="str">
        <f t="shared" si="4"/>
        <v>inf/ref2</v>
      </c>
      <c r="H89" s="1"/>
      <c r="I89" s="23"/>
    </row>
    <row r="90" spans="2:9">
      <c r="B90" s="86">
        <f t="shared" si="5"/>
        <v>2039</v>
      </c>
      <c r="C90" s="87">
        <f t="shared" si="5"/>
        <v>27</v>
      </c>
      <c r="D90" s="90">
        <f t="shared" si="1"/>
        <v>7405053.6600605231</v>
      </c>
      <c r="E90" s="88">
        <f t="shared" si="2"/>
        <v>4338339.8728616992</v>
      </c>
      <c r="F90" s="88">
        <f t="shared" si="3"/>
        <v>1983431.1749537652</v>
      </c>
      <c r="G90" s="91" t="str">
        <f t="shared" si="4"/>
        <v>inf/ref2</v>
      </c>
      <c r="H90" s="1"/>
      <c r="I90" s="23"/>
    </row>
    <row r="91" spans="2:9">
      <c r="B91" s="86">
        <f t="shared" si="5"/>
        <v>2040</v>
      </c>
      <c r="C91" s="87">
        <f t="shared" si="5"/>
        <v>28</v>
      </c>
      <c r="D91" s="90">
        <f t="shared" si="1"/>
        <v>7405053.6600605231</v>
      </c>
      <c r="E91" s="88">
        <f t="shared" si="2"/>
        <v>4253274.3851585276</v>
      </c>
      <c r="F91" s="88">
        <f t="shared" si="3"/>
        <v>1888982.0713845377</v>
      </c>
      <c r="G91" s="91" t="str">
        <f t="shared" si="4"/>
        <v>inf/ref2</v>
      </c>
      <c r="H91" s="1"/>
      <c r="I91" s="23"/>
    </row>
    <row r="92" spans="2:9">
      <c r="B92" s="86">
        <f t="shared" si="5"/>
        <v>2041</v>
      </c>
      <c r="C92" s="87">
        <f t="shared" si="5"/>
        <v>29</v>
      </c>
      <c r="D92" s="90">
        <f t="shared" si="1"/>
        <v>7405053.6600605231</v>
      </c>
      <c r="E92" s="88">
        <f t="shared" si="2"/>
        <v>4169876.8481946359</v>
      </c>
      <c r="F92" s="88">
        <f t="shared" si="3"/>
        <v>1799030.5441757503</v>
      </c>
      <c r="G92" s="91" t="str">
        <f t="shared" si="4"/>
        <v>inf/ref2</v>
      </c>
      <c r="H92" s="1"/>
      <c r="I92" s="23"/>
    </row>
    <row r="93" spans="2:9">
      <c r="B93" s="86">
        <f t="shared" si="5"/>
        <v>2042</v>
      </c>
      <c r="C93" s="87">
        <f t="shared" si="5"/>
        <v>30</v>
      </c>
      <c r="D93" s="90">
        <f t="shared" si="1"/>
        <v>7405053.6600605231</v>
      </c>
      <c r="E93" s="88">
        <f t="shared" si="2"/>
        <v>4088114.5570535641</v>
      </c>
      <c r="F93" s="88">
        <f t="shared" si="3"/>
        <v>1713362.4230245238</v>
      </c>
      <c r="G93" s="91" t="str">
        <f t="shared" si="4"/>
        <v>inf/ref2</v>
      </c>
      <c r="H93" s="1"/>
      <c r="I93" s="23"/>
    </row>
    <row r="94" spans="2:9">
      <c r="B94" s="86">
        <f t="shared" si="5"/>
        <v>2043</v>
      </c>
      <c r="C94" s="87">
        <f t="shared" si="5"/>
        <v>31</v>
      </c>
      <c r="D94" s="90">
        <f t="shared" si="1"/>
        <v>7638787.2001833273</v>
      </c>
      <c r="E94" s="88">
        <f t="shared" si="2"/>
        <v>4134462.7846407681</v>
      </c>
      <c r="F94" s="88">
        <f t="shared" si="3"/>
        <v>1683279.1363842287</v>
      </c>
      <c r="G94" s="91" t="str">
        <f t="shared" si="4"/>
        <v>inf/ref3</v>
      </c>
      <c r="H94" s="1"/>
      <c r="I94" s="23"/>
    </row>
    <row r="95" spans="2:9">
      <c r="B95" s="86">
        <f t="shared" si="5"/>
        <v>2044</v>
      </c>
      <c r="C95" s="87">
        <f t="shared" si="5"/>
        <v>32</v>
      </c>
      <c r="D95" s="90">
        <f t="shared" si="1"/>
        <v>7638787.2001833273</v>
      </c>
      <c r="E95" s="88">
        <f t="shared" si="2"/>
        <v>4053394.8869027132</v>
      </c>
      <c r="F95" s="88">
        <f t="shared" si="3"/>
        <v>1603122.9870325984</v>
      </c>
      <c r="G95" s="91" t="str">
        <f t="shared" si="4"/>
        <v>inf/ref3</v>
      </c>
      <c r="H95" s="1"/>
      <c r="I95" s="23"/>
    </row>
    <row r="96" spans="2:9">
      <c r="B96" s="86">
        <f t="shared" ref="B96:C103" si="6">B95+1</f>
        <v>2045</v>
      </c>
      <c r="C96" s="87">
        <f t="shared" si="6"/>
        <v>33</v>
      </c>
      <c r="D96" s="90">
        <f>IF(G96="inf/ref1/ref2/ref3",(((($C$8*(1-$C$27)*$C$29)/$C$30)*$C$10)+((($C$35*(1-$C$36)*$C$38)/$C$39)*$C$10)+((($C$44*(1-$C$45)*$C$47)/$C$48)*$C$10)+((($C$53*(1-$C$54)*$C$56)/$C$57)*$C$10)), IF(G96="inf/ref1/ref2",(((($C$8*(1-$C$27)*$C$29)/$C$30)*$C$10)+((($C$35*(1-$C$36)*$C$38)/$C$39)*$C$10)+((($C$44*(1-$C$45)*$C$47)/$C$48)*$C$10)), IF(G96="inf/ref1/ref3",(((($C$8*(1-$C$27)*$C$29)/$C$30)*$C$10)+((($C$35*(1-$C$36)*$C$38)/$C$39)*$C$10)+ ((($C$53*(1-$C$54)*$C$56)/$C$57)*$C$10)),IF(G96="inf/ref2/ref3",(((($C$8*(1-$C$27)*$C$29)/$C$30)*$C$10)+ ((($C$44*(1-$C$45)*$C$47)/$C$48)*$C$10)+((($C$53*(1-$C$54)*$C$56)/$C$57)*$C$10)), IF(G96="inf/ref1",(((($C$8*(1-$C$27)*$C$29)/$C$30)*$C$10)+((($C$35*(1-$C$36)*$C$38)/$C$39)*$C$10)), IF(G96="inf/ref2",(((($C$8*(1-$C$27)*$C$29)/$C$30)*$C$10)+((($C$44*(1-$C$45)*$C$47)/$C$48)*$C$10)), IF(G96="inf/ref3", (((($C$8*(1-$C$27)*$C$29)/$C$30)*$C$10)+((($C$53*(1-$C$54)*$C$56)/$C$57)*$C$10)), ((($C$8*(1-$C$27)*$C$29)/$C$30)*$C$10))))))))</f>
        <v>7638787.2001833273</v>
      </c>
      <c r="E96" s="88">
        <f t="shared" si="2"/>
        <v>3973916.5557869733</v>
      </c>
      <c r="F96" s="88">
        <f t="shared" si="3"/>
        <v>1526783.7971739029</v>
      </c>
      <c r="G96" s="91" t="str">
        <f t="shared" si="4"/>
        <v>inf/ref3</v>
      </c>
      <c r="H96" s="1"/>
      <c r="I96" s="23"/>
    </row>
    <row r="97" spans="2:9">
      <c r="B97" s="86">
        <f t="shared" si="6"/>
        <v>2046</v>
      </c>
      <c r="C97" s="87">
        <f t="shared" si="6"/>
        <v>34</v>
      </c>
      <c r="D97" s="90">
        <f t="shared" si="1"/>
        <v>7638787.2001833273</v>
      </c>
      <c r="E97" s="88">
        <f t="shared" si="2"/>
        <v>3895996.6233205623</v>
      </c>
      <c r="F97" s="88">
        <f t="shared" si="3"/>
        <v>1454079.8068322884</v>
      </c>
      <c r="G97" s="91" t="str">
        <f t="shared" si="4"/>
        <v>inf/ref3</v>
      </c>
      <c r="H97" s="1"/>
      <c r="I97" s="23"/>
    </row>
    <row r="98" spans="2:9">
      <c r="B98" s="86">
        <f t="shared" si="6"/>
        <v>2047</v>
      </c>
      <c r="C98" s="87">
        <f t="shared" si="6"/>
        <v>35</v>
      </c>
      <c r="D98" s="90">
        <f>IF(G98="inf/ref1/ref2/ref3",(((($C$8*(1-$C$27)*$C$29)/$C$30)*$C$10)+((($C$35*(1-$C$36)*$C$38)/$C$39)*$C$10)+((($C$44*(1-$C$45)*$C$47)/$C$48)*$C$10)+((($C$53*(1-$C$54)*$C$56)/$C$57)*$C$10)), IF(G98="inf/ref1/ref2",(((($C$8*(1-$C$27)*$C$29)/$C$30)*$C$10)+((($C$35*(1-$C$36)*$C$38)/$C$39)*$C$10)+((($C$44*(1-$C$45)*$C$47)/$C$48)*$C$10)), IF(G98="inf/ref1/ref3",(((($C$8*(1-$C$27)*$C$29)/$C$30)*$C$10)+((($C$35*(1-$C$36)*$C$38)/$C$39)*$C$10)+ ((($C$53*(1-$C$54)*$C$56)/$C$57)*$C$10)),IF(G98="inf/ref2/ref3",(((($C$8*(1-$C$27)*$C$29)/$C$30)*$C$10)+ ((($C$44*(1-$C$45)*$C$47)/$C$48)*$C$10)+((($C$53*(1-$C$54)*$C$56)/$C$57)*$C$10)), IF(G98="inf/ref1",(((($C$8*(1-$C$27)*$C$29)/$C$30)*$C$10)+((($C$35*(1-$C$36)*$C$38)/$C$39)*$C$10)), IF(G98="inf/ref2",(((($C$8*(1-$C$27)*$C$29)/$C$30)*$C$10)+((($C$44*(1-$C$45)*$C$47)/$C$48)*$C$10)), IF(G98="inf/ref3", (((($C$8*(1-$C$27)*$C$29)/$C$30)*$C$10)+((($C$53*(1-$C$54)*$C$56)/$C$57)*$C$10)), ((($C$8*(1-$C$27)*$C$29)/$C$30)*$C$10))))))))</f>
        <v>7638787.2001833273</v>
      </c>
      <c r="E98" s="88">
        <f t="shared" si="2"/>
        <v>3819604.5326672182</v>
      </c>
      <c r="F98" s="88">
        <f t="shared" si="3"/>
        <v>1384837.9112688461</v>
      </c>
      <c r="G98" s="91" t="str">
        <f t="shared" si="4"/>
        <v>inf/ref3</v>
      </c>
      <c r="H98" s="1"/>
      <c r="I98" s="23"/>
    </row>
    <row r="99" spans="2:9">
      <c r="B99" s="86">
        <f t="shared" si="6"/>
        <v>2048</v>
      </c>
      <c r="C99" s="87">
        <f t="shared" si="6"/>
        <v>36</v>
      </c>
      <c r="D99" s="90">
        <f t="shared" si="1"/>
        <v>7638787.2001833273</v>
      </c>
      <c r="E99" s="88">
        <f t="shared" si="2"/>
        <v>3744710.3261443316</v>
      </c>
      <c r="F99" s="88">
        <f t="shared" si="3"/>
        <v>1318893.2488274723</v>
      </c>
      <c r="G99" s="91" t="str">
        <f t="shared" si="4"/>
        <v>inf/ref3</v>
      </c>
      <c r="H99" s="1"/>
      <c r="I99" s="23"/>
    </row>
    <row r="100" spans="2:9">
      <c r="B100" s="86">
        <f t="shared" si="6"/>
        <v>2049</v>
      </c>
      <c r="C100" s="87">
        <f t="shared" si="6"/>
        <v>37</v>
      </c>
      <c r="D100" s="90">
        <f t="shared" si="1"/>
        <v>7638787.2001833273</v>
      </c>
      <c r="E100" s="88">
        <f t="shared" si="2"/>
        <v>3671284.6334748347</v>
      </c>
      <c r="F100" s="88">
        <f t="shared" si="3"/>
        <v>1256088.8084071164</v>
      </c>
      <c r="G100" s="91" t="str">
        <f t="shared" si="4"/>
        <v>inf/ref3</v>
      </c>
      <c r="H100" s="1"/>
      <c r="I100" s="23"/>
    </row>
    <row r="101" spans="2:9">
      <c r="B101" s="86">
        <f t="shared" si="6"/>
        <v>2050</v>
      </c>
      <c r="C101" s="87">
        <f t="shared" si="6"/>
        <v>38</v>
      </c>
      <c r="D101" s="90">
        <f t="shared" si="1"/>
        <v>7638787.2001833273</v>
      </c>
      <c r="E101" s="88">
        <f t="shared" si="2"/>
        <v>3599298.6602694453</v>
      </c>
      <c r="F101" s="88">
        <f t="shared" si="3"/>
        <v>1196275.055625825</v>
      </c>
      <c r="G101" s="91" t="str">
        <f t="shared" si="4"/>
        <v>inf/ref3</v>
      </c>
      <c r="H101" s="1"/>
      <c r="I101" s="23"/>
    </row>
    <row r="102" spans="2:9">
      <c r="B102" s="86">
        <f t="shared" si="6"/>
        <v>2051</v>
      </c>
      <c r="C102" s="87">
        <f t="shared" si="6"/>
        <v>39</v>
      </c>
      <c r="D102" s="90">
        <f t="shared" si="1"/>
        <v>7638787.2001833273</v>
      </c>
      <c r="E102" s="88">
        <f t="shared" si="2"/>
        <v>3528724.1767347516</v>
      </c>
      <c r="F102" s="88">
        <f t="shared" si="3"/>
        <v>1139309.5767865002</v>
      </c>
      <c r="G102" s="91" t="str">
        <f t="shared" si="4"/>
        <v>inf/ref3</v>
      </c>
      <c r="H102" s="1"/>
      <c r="I102" s="23"/>
    </row>
    <row r="103" spans="2:9" ht="15.75" thickBot="1">
      <c r="B103" s="51">
        <f t="shared" si="6"/>
        <v>2052</v>
      </c>
      <c r="C103" s="92">
        <f t="shared" si="6"/>
        <v>40</v>
      </c>
      <c r="D103" s="93">
        <f t="shared" si="1"/>
        <v>7638787.2001833273</v>
      </c>
      <c r="E103" s="94">
        <f t="shared" si="2"/>
        <v>3459533.5066026966</v>
      </c>
      <c r="F103" s="94">
        <f t="shared" si="3"/>
        <v>1085056.7397966664</v>
      </c>
      <c r="G103" s="95" t="str">
        <f t="shared" si="4"/>
        <v>inf/ref3</v>
      </c>
      <c r="H103" s="1"/>
      <c r="I103" s="23"/>
    </row>
  </sheetData>
  <sheetProtection password="C907" sheet="1" objects="1" scenarios="1"/>
  <mergeCells count="22">
    <mergeCell ref="A3:F5"/>
    <mergeCell ref="E14:H22"/>
    <mergeCell ref="E7:H7"/>
    <mergeCell ref="E27:H27"/>
    <mergeCell ref="E28:H28"/>
    <mergeCell ref="E8:H8"/>
    <mergeCell ref="B59:G59"/>
    <mergeCell ref="E37:H37"/>
    <mergeCell ref="E38:H38"/>
    <mergeCell ref="E9:H9"/>
    <mergeCell ref="E30:H30"/>
    <mergeCell ref="E35:H35"/>
    <mergeCell ref="E44:H44"/>
    <mergeCell ref="E46:H46"/>
    <mergeCell ref="E47:H47"/>
    <mergeCell ref="E48:H48"/>
    <mergeCell ref="E53:H53"/>
    <mergeCell ref="E55:H55"/>
    <mergeCell ref="E56:H56"/>
    <mergeCell ref="E57:H57"/>
    <mergeCell ref="E39:H40"/>
    <mergeCell ref="E29:H29"/>
  </mergeCells>
  <pageMargins left="0.70866141732283472" right="0.70866141732283472" top="0.74803149606299213" bottom="0.74803149606299213" header="0.31496062992125984" footer="0.31496062992125984"/>
  <pageSetup paperSize="9" scale="51" fitToHeight="3" orientation="portrait" r:id="rId1"/>
  <rowBreaks count="1" manualBreakCount="1">
    <brk id="58" max="16383" man="1"/>
  </rowBreaks>
  <ignoredErrors>
    <ignoredError sqref="C38" unlockedFormula="1"/>
  </ignoredErrors>
</worksheet>
</file>

<file path=xl/worksheets/sheet4.xml><?xml version="1.0" encoding="utf-8"?>
<worksheet xmlns="http://schemas.openxmlformats.org/spreadsheetml/2006/main" xmlns:r="http://schemas.openxmlformats.org/officeDocument/2006/relationships">
  <sheetPr>
    <pageSetUpPr fitToPage="1"/>
  </sheetPr>
  <dimension ref="A1:K74"/>
  <sheetViews>
    <sheetView topLeftCell="A7" zoomScaleNormal="100" workbookViewId="0">
      <selection activeCell="D15" sqref="D15"/>
    </sheetView>
  </sheetViews>
  <sheetFormatPr defaultRowHeight="15"/>
  <cols>
    <col min="1" max="1" width="46.140625" customWidth="1"/>
    <col min="2" max="2" width="12" style="26" customWidth="1"/>
    <col min="3" max="3" width="17.42578125" bestFit="1" customWidth="1"/>
    <col min="4" max="4" width="16.28515625" customWidth="1"/>
    <col min="5" max="5" width="18" customWidth="1"/>
    <col min="6" max="6" width="21" customWidth="1"/>
    <col min="7" max="7" width="22" customWidth="1"/>
    <col min="8" max="8" width="19" customWidth="1"/>
    <col min="9" max="9" width="21.5703125" customWidth="1"/>
  </cols>
  <sheetData>
    <row r="1" spans="1:11" ht="18">
      <c r="A1" s="38" t="s">
        <v>226</v>
      </c>
      <c r="E1" s="37" t="s">
        <v>50</v>
      </c>
    </row>
    <row r="2" spans="1:11">
      <c r="A2" s="38"/>
      <c r="B2" s="140"/>
      <c r="E2" s="37"/>
    </row>
    <row r="3" spans="1:11">
      <c r="A3" s="292" t="s">
        <v>269</v>
      </c>
      <c r="B3" s="293"/>
      <c r="C3" s="293"/>
      <c r="D3" s="293"/>
      <c r="E3" s="293"/>
      <c r="F3" s="294"/>
    </row>
    <row r="4" spans="1:11">
      <c r="A4" s="295"/>
      <c r="B4" s="296"/>
      <c r="C4" s="296"/>
      <c r="D4" s="296"/>
      <c r="E4" s="296"/>
      <c r="F4" s="297"/>
    </row>
    <row r="5" spans="1:11">
      <c r="A5" s="298"/>
      <c r="B5" s="299"/>
      <c r="C5" s="299"/>
      <c r="D5" s="299"/>
      <c r="E5" s="299"/>
      <c r="F5" s="300"/>
    </row>
    <row r="7" spans="1:11">
      <c r="A7" s="25" t="s">
        <v>35</v>
      </c>
      <c r="B7" s="25" t="s">
        <v>24</v>
      </c>
      <c r="E7" s="289" t="s">
        <v>22</v>
      </c>
      <c r="F7" s="290"/>
      <c r="G7" s="290"/>
      <c r="H7" s="291"/>
      <c r="I7" s="18"/>
      <c r="J7" s="18"/>
      <c r="K7" s="18"/>
    </row>
    <row r="8" spans="1:11">
      <c r="A8" s="108" t="s">
        <v>162</v>
      </c>
      <c r="B8" s="11"/>
      <c r="C8" s="109">
        <f>'Input Information'!G37</f>
        <v>17000000</v>
      </c>
      <c r="E8" s="262" t="str">
        <f>"Sum of subcosts listed below, provided on an annual basis in "&amp;B33&amp;" currency"</f>
        <v>Sum of subcosts listed below, provided on an annual basis in 2012 currency</v>
      </c>
      <c r="F8" s="304"/>
      <c r="G8" s="304"/>
      <c r="H8" s="305"/>
      <c r="I8" s="32"/>
      <c r="J8" s="32"/>
      <c r="K8" s="32"/>
    </row>
    <row r="9" spans="1:11">
      <c r="A9" t="s">
        <v>8</v>
      </c>
      <c r="B9" s="11"/>
      <c r="C9" s="52">
        <f>'Input Information'!G38</f>
        <v>15000000</v>
      </c>
      <c r="E9" s="306" t="s">
        <v>287</v>
      </c>
      <c r="F9" s="307"/>
      <c r="G9" s="307"/>
      <c r="H9" s="308"/>
      <c r="I9" s="32"/>
      <c r="J9" s="32"/>
      <c r="K9" s="32"/>
    </row>
    <row r="10" spans="1:11">
      <c r="A10" t="s">
        <v>9</v>
      </c>
      <c r="B10" s="11"/>
      <c r="C10" s="52">
        <f>'Input Information'!G39</f>
        <v>2000000</v>
      </c>
      <c r="E10" s="309"/>
      <c r="F10" s="310"/>
      <c r="G10" s="310"/>
      <c r="H10" s="311"/>
      <c r="I10" s="32"/>
      <c r="J10" s="32"/>
      <c r="K10" s="32"/>
    </row>
    <row r="11" spans="1:11" ht="30" customHeight="1">
      <c r="A11" s="13" t="s">
        <v>36</v>
      </c>
      <c r="B11" s="11"/>
      <c r="C11" s="53">
        <f>'Input Information'!G17</f>
        <v>40</v>
      </c>
      <c r="D11" s="13" t="s">
        <v>37</v>
      </c>
      <c r="E11" s="262" t="s">
        <v>232</v>
      </c>
      <c r="F11" s="263"/>
      <c r="G11" s="263"/>
      <c r="H11" s="264"/>
    </row>
    <row r="12" spans="1:11">
      <c r="A12" s="43" t="s">
        <v>122</v>
      </c>
      <c r="B12" s="41" t="s">
        <v>118</v>
      </c>
      <c r="C12" s="53">
        <f>'Input Information'!G34</f>
        <v>1</v>
      </c>
    </row>
    <row r="13" spans="1:11">
      <c r="A13" s="43" t="s">
        <v>121</v>
      </c>
      <c r="B13" s="41" t="s">
        <v>119</v>
      </c>
      <c r="C13" s="54">
        <f>'Input Information'!F80</f>
        <v>0.05</v>
      </c>
    </row>
    <row r="14" spans="1:11">
      <c r="A14" s="43" t="s">
        <v>40</v>
      </c>
      <c r="B14" s="41" t="s">
        <v>120</v>
      </c>
      <c r="C14" s="54">
        <f>'Input Information'!F81</f>
        <v>0.02</v>
      </c>
      <c r="E14" s="13"/>
    </row>
    <row r="15" spans="1:11">
      <c r="A15" t="s">
        <v>39</v>
      </c>
      <c r="B15" s="11"/>
      <c r="C15" s="57">
        <f>'Input Information'!F82</f>
        <v>2.941176470588247E-2</v>
      </c>
    </row>
    <row r="16" spans="1:11">
      <c r="B16" s="11"/>
      <c r="E16" s="13"/>
      <c r="F16" s="13"/>
      <c r="G16" s="13"/>
      <c r="H16" s="13"/>
      <c r="I16" s="13"/>
      <c r="J16" s="13"/>
      <c r="K16" s="13"/>
    </row>
    <row r="17" spans="1:11">
      <c r="A17" s="10" t="s">
        <v>23</v>
      </c>
      <c r="B17" s="11"/>
      <c r="E17" s="13"/>
      <c r="F17" s="13"/>
      <c r="G17" s="13"/>
      <c r="H17" s="13"/>
      <c r="I17" s="13"/>
      <c r="J17" s="13"/>
      <c r="K17" s="13"/>
    </row>
    <row r="18" spans="1:11">
      <c r="A18" s="10"/>
      <c r="B18" s="11"/>
      <c r="E18" s="13"/>
      <c r="F18" s="13"/>
      <c r="G18" s="13"/>
      <c r="H18" s="13"/>
      <c r="I18" s="13"/>
      <c r="J18" s="13"/>
      <c r="K18" s="13"/>
    </row>
    <row r="19" spans="1:11" ht="30">
      <c r="A19" s="28" t="s">
        <v>52</v>
      </c>
      <c r="B19" s="12"/>
      <c r="C19" s="122">
        <v>100</v>
      </c>
      <c r="D19" s="4"/>
      <c r="E19" s="262" t="s">
        <v>56</v>
      </c>
      <c r="F19" s="263"/>
      <c r="G19" s="263"/>
      <c r="H19" s="264"/>
      <c r="I19" s="13"/>
      <c r="J19" s="13"/>
      <c r="K19" s="13"/>
    </row>
    <row r="20" spans="1:11" ht="45">
      <c r="A20" s="28" t="s">
        <v>55</v>
      </c>
      <c r="B20" s="12" t="s">
        <v>53</v>
      </c>
      <c r="C20" s="123">
        <v>50</v>
      </c>
      <c r="D20" s="4"/>
      <c r="E20" s="262" t="s">
        <v>177</v>
      </c>
      <c r="F20" s="263"/>
      <c r="G20" s="263"/>
      <c r="H20" s="264"/>
      <c r="I20" s="13"/>
      <c r="J20" s="13"/>
      <c r="K20" s="13"/>
    </row>
    <row r="21" spans="1:11" ht="47.25">
      <c r="A21" s="28" t="s">
        <v>71</v>
      </c>
      <c r="B21" s="12" t="s">
        <v>54</v>
      </c>
      <c r="C21" s="124">
        <v>10</v>
      </c>
      <c r="E21" s="262" t="s">
        <v>178</v>
      </c>
      <c r="F21" s="263"/>
      <c r="G21" s="263"/>
      <c r="H21" s="264"/>
      <c r="I21" s="17"/>
      <c r="J21" s="17"/>
      <c r="K21" s="17"/>
    </row>
    <row r="22" spans="1:11" ht="18">
      <c r="A22" s="4" t="s">
        <v>241</v>
      </c>
      <c r="B22" s="11" t="s">
        <v>57</v>
      </c>
      <c r="C22" s="53">
        <f>C21/C20</f>
        <v>0.2</v>
      </c>
      <c r="E22" s="262" t="s">
        <v>129</v>
      </c>
      <c r="F22" s="263"/>
      <c r="G22" s="263"/>
      <c r="H22" s="264"/>
      <c r="I22" s="16"/>
      <c r="J22" s="16"/>
      <c r="K22" s="16"/>
    </row>
    <row r="23" spans="1:11" ht="30.75" customHeight="1">
      <c r="A23" s="4" t="s">
        <v>244</v>
      </c>
      <c r="B23" s="11"/>
      <c r="C23" s="125">
        <v>0</v>
      </c>
      <c r="E23" s="262" t="s">
        <v>147</v>
      </c>
      <c r="F23" s="263"/>
      <c r="G23" s="263"/>
      <c r="H23" s="264"/>
      <c r="I23" s="16"/>
      <c r="J23" s="16"/>
      <c r="K23" s="16"/>
    </row>
    <row r="24" spans="1:11" ht="65.25" customHeight="1">
      <c r="A24" s="4" t="s">
        <v>245</v>
      </c>
      <c r="B24" s="11" t="s">
        <v>72</v>
      </c>
      <c r="C24" s="125">
        <v>5000000</v>
      </c>
      <c r="E24" s="262" t="s">
        <v>248</v>
      </c>
      <c r="F24" s="263"/>
      <c r="G24" s="263"/>
      <c r="H24" s="264"/>
      <c r="I24" s="16"/>
      <c r="J24" s="16"/>
      <c r="K24" s="16"/>
    </row>
    <row r="25" spans="1:11" ht="64.5" customHeight="1">
      <c r="A25" s="4" t="s">
        <v>246</v>
      </c>
      <c r="B25" s="11" t="s">
        <v>29</v>
      </c>
      <c r="C25" s="125">
        <v>1000000</v>
      </c>
      <c r="E25" s="262" t="s">
        <v>247</v>
      </c>
      <c r="F25" s="263"/>
      <c r="G25" s="263"/>
      <c r="H25" s="264"/>
      <c r="I25" s="16"/>
      <c r="J25" s="16"/>
      <c r="K25" s="16"/>
    </row>
    <row r="26" spans="1:11" ht="30">
      <c r="A26" s="4" t="s">
        <v>243</v>
      </c>
      <c r="B26" s="11" t="s">
        <v>49</v>
      </c>
      <c r="C26" s="52">
        <f>C8-C24-C25-C23</f>
        <v>11000000</v>
      </c>
      <c r="E26" s="16"/>
      <c r="F26" s="16"/>
      <c r="G26" s="16"/>
      <c r="H26" s="16"/>
      <c r="I26" s="16"/>
      <c r="J26" s="16"/>
      <c r="K26" s="16"/>
    </row>
    <row r="27" spans="1:11" ht="18">
      <c r="A27" s="4" t="s">
        <v>242</v>
      </c>
      <c r="B27" s="11" t="s">
        <v>59</v>
      </c>
      <c r="C27" s="58">
        <f>'C-Operational'!C32</f>
        <v>0.33544303797468356</v>
      </c>
      <c r="E27" s="262" t="s">
        <v>90</v>
      </c>
      <c r="F27" s="263"/>
      <c r="G27" s="263"/>
      <c r="H27" s="264"/>
      <c r="I27" s="5"/>
    </row>
    <row r="28" spans="1:11" ht="15.75" thickBot="1">
      <c r="A28" s="4"/>
      <c r="B28" s="11"/>
    </row>
    <row r="29" spans="1:11" ht="15" customHeight="1">
      <c r="B29" s="301" t="s">
        <v>156</v>
      </c>
      <c r="C29" s="302"/>
      <c r="D29" s="302"/>
      <c r="E29" s="302"/>
      <c r="F29" s="303"/>
      <c r="G29" s="39"/>
      <c r="H29" s="39"/>
      <c r="I29" s="24"/>
    </row>
    <row r="30" spans="1:11">
      <c r="B30" s="78" t="s">
        <v>68</v>
      </c>
      <c r="C30" s="79" t="s">
        <v>0</v>
      </c>
      <c r="D30" s="79" t="str">
        <f>"Costs ("&amp;B33&amp;" €)"</f>
        <v>Costs (2012 €)</v>
      </c>
      <c r="E30" s="79" t="s">
        <v>65</v>
      </c>
      <c r="F30" s="80" t="s">
        <v>43</v>
      </c>
      <c r="G30" s="27"/>
      <c r="H30" s="27"/>
    </row>
    <row r="31" spans="1:11">
      <c r="B31" s="78" t="s">
        <v>3</v>
      </c>
      <c r="C31" s="79"/>
      <c r="D31" s="81">
        <f>SUM(D34:D73)</f>
        <v>29518987.341772165</v>
      </c>
      <c r="E31" s="81">
        <f>SUM(E34:E73)</f>
        <v>17221491.58710818</v>
      </c>
      <c r="F31" s="82"/>
      <c r="G31" s="22"/>
      <c r="H31" s="22"/>
    </row>
    <row r="32" spans="1:11">
      <c r="B32" s="83"/>
      <c r="C32" s="84"/>
      <c r="D32" s="84"/>
      <c r="E32" s="84"/>
      <c r="F32" s="85"/>
      <c r="G32" s="27"/>
      <c r="H32" s="27"/>
    </row>
    <row r="33" spans="2:8">
      <c r="B33" s="86">
        <f>'Input Information'!G18</f>
        <v>2012</v>
      </c>
      <c r="C33" s="87">
        <v>0</v>
      </c>
      <c r="D33" s="88"/>
      <c r="E33" s="88"/>
      <c r="F33" s="89"/>
      <c r="G33" s="1"/>
      <c r="H33" s="1"/>
    </row>
    <row r="34" spans="2:8">
      <c r="B34" s="86">
        <f t="shared" ref="B34:C49" si="0">B33+1</f>
        <v>2013</v>
      </c>
      <c r="C34" s="87">
        <f t="shared" si="0"/>
        <v>1</v>
      </c>
      <c r="D34" s="88">
        <f>$C$26*$C$22*$C$27</f>
        <v>737974.68354430387</v>
      </c>
      <c r="E34" s="88">
        <f t="shared" ref="E34:E73" si="1">D34/((1+$C$15)^(C34))</f>
        <v>716889.69258589507</v>
      </c>
      <c r="F34" s="89"/>
      <c r="G34" s="1"/>
      <c r="H34" s="23"/>
    </row>
    <row r="35" spans="2:8">
      <c r="B35" s="86">
        <f t="shared" si="0"/>
        <v>2014</v>
      </c>
      <c r="C35" s="87">
        <f t="shared" si="0"/>
        <v>2</v>
      </c>
      <c r="D35" s="88">
        <f t="shared" ref="D35:D73" si="2">$C$26*$C$22*$C$27</f>
        <v>737974.68354430387</v>
      </c>
      <c r="E35" s="88">
        <f t="shared" si="1"/>
        <v>696407.12994058372</v>
      </c>
      <c r="F35" s="89"/>
      <c r="G35" s="1"/>
      <c r="H35" s="23"/>
    </row>
    <row r="36" spans="2:8">
      <c r="B36" s="86">
        <f t="shared" si="0"/>
        <v>2015</v>
      </c>
      <c r="C36" s="87">
        <f t="shared" si="0"/>
        <v>3</v>
      </c>
      <c r="D36" s="88">
        <f t="shared" si="2"/>
        <v>737974.68354430387</v>
      </c>
      <c r="E36" s="88">
        <f t="shared" si="1"/>
        <v>676509.7833708527</v>
      </c>
      <c r="F36" s="89"/>
      <c r="G36" s="1"/>
      <c r="H36" s="23"/>
    </row>
    <row r="37" spans="2:8">
      <c r="B37" s="86">
        <f t="shared" si="0"/>
        <v>2016</v>
      </c>
      <c r="C37" s="87">
        <f t="shared" si="0"/>
        <v>4</v>
      </c>
      <c r="D37" s="88">
        <f t="shared" si="2"/>
        <v>737974.68354430387</v>
      </c>
      <c r="E37" s="88">
        <f t="shared" si="1"/>
        <v>657180.93241739972</v>
      </c>
      <c r="F37" s="89"/>
      <c r="G37" s="1"/>
      <c r="H37" s="23"/>
    </row>
    <row r="38" spans="2:8">
      <c r="B38" s="86">
        <f t="shared" si="0"/>
        <v>2017</v>
      </c>
      <c r="C38" s="87">
        <f t="shared" si="0"/>
        <v>5</v>
      </c>
      <c r="D38" s="88">
        <f t="shared" si="2"/>
        <v>737974.68354430387</v>
      </c>
      <c r="E38" s="88">
        <f t="shared" si="1"/>
        <v>638404.33434833109</v>
      </c>
      <c r="F38" s="89"/>
      <c r="G38" s="1"/>
      <c r="H38" s="23"/>
    </row>
    <row r="39" spans="2:8">
      <c r="B39" s="86">
        <f t="shared" si="0"/>
        <v>2018</v>
      </c>
      <c r="C39" s="87">
        <f t="shared" si="0"/>
        <v>6</v>
      </c>
      <c r="D39" s="88">
        <f t="shared" si="2"/>
        <v>737974.68354430387</v>
      </c>
      <c r="E39" s="88">
        <f t="shared" si="1"/>
        <v>620164.21050980734</v>
      </c>
      <c r="F39" s="89"/>
      <c r="G39" s="1"/>
      <c r="H39" s="23"/>
    </row>
    <row r="40" spans="2:8">
      <c r="B40" s="86">
        <f t="shared" si="0"/>
        <v>2019</v>
      </c>
      <c r="C40" s="87">
        <f t="shared" si="0"/>
        <v>7</v>
      </c>
      <c r="D40" s="88">
        <f t="shared" si="2"/>
        <v>737974.68354430387</v>
      </c>
      <c r="E40" s="88">
        <f t="shared" si="1"/>
        <v>602445.2330666699</v>
      </c>
      <c r="F40" s="89"/>
      <c r="G40" s="1"/>
      <c r="H40" s="23"/>
    </row>
    <row r="41" spans="2:8">
      <c r="B41" s="86">
        <f t="shared" si="0"/>
        <v>2020</v>
      </c>
      <c r="C41" s="87">
        <f t="shared" si="0"/>
        <v>8</v>
      </c>
      <c r="D41" s="88">
        <f t="shared" si="2"/>
        <v>737974.68354430387</v>
      </c>
      <c r="E41" s="88">
        <f t="shared" si="1"/>
        <v>585232.5121219079</v>
      </c>
      <c r="F41" s="89"/>
      <c r="G41" s="1"/>
      <c r="H41" s="23"/>
    </row>
    <row r="42" spans="2:8">
      <c r="B42" s="86">
        <f t="shared" si="0"/>
        <v>2021</v>
      </c>
      <c r="C42" s="87">
        <f t="shared" si="0"/>
        <v>9</v>
      </c>
      <c r="D42" s="88">
        <f t="shared" si="2"/>
        <v>737974.68354430387</v>
      </c>
      <c r="E42" s="88">
        <f t="shared" si="1"/>
        <v>568511.58320413902</v>
      </c>
      <c r="F42" s="89"/>
      <c r="G42" s="1"/>
      <c r="H42" s="23"/>
    </row>
    <row r="43" spans="2:8">
      <c r="B43" s="86">
        <f t="shared" si="0"/>
        <v>2022</v>
      </c>
      <c r="C43" s="87">
        <f t="shared" si="0"/>
        <v>10</v>
      </c>
      <c r="D43" s="88">
        <f t="shared" si="2"/>
        <v>737974.68354430387</v>
      </c>
      <c r="E43" s="88">
        <f t="shared" si="1"/>
        <v>552268.39511259214</v>
      </c>
      <c r="F43" s="96"/>
      <c r="G43" s="1"/>
      <c r="H43" s="23"/>
    </row>
    <row r="44" spans="2:8">
      <c r="B44" s="86">
        <f t="shared" si="0"/>
        <v>2023</v>
      </c>
      <c r="C44" s="87">
        <f t="shared" si="0"/>
        <v>11</v>
      </c>
      <c r="D44" s="88">
        <f t="shared" si="2"/>
        <v>737974.68354430387</v>
      </c>
      <c r="E44" s="88">
        <f t="shared" si="1"/>
        <v>536489.29810937517</v>
      </c>
      <c r="F44" s="89"/>
      <c r="G44" s="1"/>
      <c r="H44" s="23"/>
    </row>
    <row r="45" spans="2:8">
      <c r="B45" s="86">
        <f t="shared" si="0"/>
        <v>2024</v>
      </c>
      <c r="C45" s="87">
        <f t="shared" si="0"/>
        <v>12</v>
      </c>
      <c r="D45" s="88">
        <f t="shared" si="2"/>
        <v>737974.68354430387</v>
      </c>
      <c r="E45" s="88">
        <f t="shared" si="1"/>
        <v>521161.03244910721</v>
      </c>
      <c r="F45" s="89"/>
      <c r="G45" s="1"/>
      <c r="H45" s="23"/>
    </row>
    <row r="46" spans="2:8">
      <c r="B46" s="86">
        <f t="shared" si="0"/>
        <v>2025</v>
      </c>
      <c r="C46" s="87">
        <f t="shared" si="0"/>
        <v>13</v>
      </c>
      <c r="D46" s="88">
        <f t="shared" si="2"/>
        <v>737974.68354430387</v>
      </c>
      <c r="E46" s="88">
        <f t="shared" si="1"/>
        <v>506270.71723627555</v>
      </c>
      <c r="F46" s="89"/>
      <c r="G46" s="1"/>
      <c r="H46" s="23"/>
    </row>
    <row r="47" spans="2:8">
      <c r="B47" s="86">
        <f t="shared" si="0"/>
        <v>2026</v>
      </c>
      <c r="C47" s="87">
        <f t="shared" si="0"/>
        <v>14</v>
      </c>
      <c r="D47" s="88">
        <f t="shared" si="2"/>
        <v>737974.68354430387</v>
      </c>
      <c r="E47" s="88">
        <f t="shared" si="1"/>
        <v>491805.83960095333</v>
      </c>
      <c r="F47" s="89"/>
      <c r="G47" s="1"/>
      <c r="H47" s="23"/>
    </row>
    <row r="48" spans="2:8">
      <c r="B48" s="86">
        <f t="shared" si="0"/>
        <v>2027</v>
      </c>
      <c r="C48" s="87">
        <f t="shared" si="0"/>
        <v>15</v>
      </c>
      <c r="D48" s="88">
        <f t="shared" si="2"/>
        <v>737974.68354430387</v>
      </c>
      <c r="E48" s="88">
        <f t="shared" si="1"/>
        <v>477754.24418378324</v>
      </c>
      <c r="F48" s="89"/>
      <c r="G48" s="1"/>
      <c r="H48" s="23"/>
    </row>
    <row r="49" spans="2:8">
      <c r="B49" s="86">
        <f t="shared" si="0"/>
        <v>2028</v>
      </c>
      <c r="C49" s="87">
        <f t="shared" si="0"/>
        <v>16</v>
      </c>
      <c r="D49" s="88">
        <f t="shared" si="2"/>
        <v>737974.68354430387</v>
      </c>
      <c r="E49" s="88">
        <f t="shared" si="1"/>
        <v>464104.12292138941</v>
      </c>
      <c r="F49" s="89"/>
      <c r="G49" s="1"/>
      <c r="H49" s="23"/>
    </row>
    <row r="50" spans="2:8">
      <c r="B50" s="86">
        <f t="shared" ref="B50:C65" si="3">B49+1</f>
        <v>2029</v>
      </c>
      <c r="C50" s="87">
        <f t="shared" si="3"/>
        <v>17</v>
      </c>
      <c r="D50" s="88">
        <f t="shared" si="2"/>
        <v>737974.68354430387</v>
      </c>
      <c r="E50" s="88">
        <f t="shared" si="1"/>
        <v>450844.00512363535</v>
      </c>
      <c r="F50" s="89"/>
      <c r="G50" s="1"/>
      <c r="H50" s="23"/>
    </row>
    <row r="51" spans="2:8">
      <c r="B51" s="86">
        <f t="shared" si="3"/>
        <v>2030</v>
      </c>
      <c r="C51" s="87">
        <f t="shared" si="3"/>
        <v>18</v>
      </c>
      <c r="D51" s="88">
        <f t="shared" si="2"/>
        <v>737974.68354430387</v>
      </c>
      <c r="E51" s="88">
        <f t="shared" si="1"/>
        <v>437962.74783438857</v>
      </c>
      <c r="F51" s="89"/>
      <c r="G51" s="1"/>
      <c r="H51" s="23"/>
    </row>
    <row r="52" spans="2:8">
      <c r="B52" s="86">
        <f t="shared" si="3"/>
        <v>2031</v>
      </c>
      <c r="C52" s="87">
        <f t="shared" si="3"/>
        <v>19</v>
      </c>
      <c r="D52" s="88">
        <f t="shared" si="2"/>
        <v>737974.68354430387</v>
      </c>
      <c r="E52" s="88">
        <f t="shared" si="1"/>
        <v>425449.52646769176</v>
      </c>
      <c r="F52" s="89"/>
      <c r="G52" s="1"/>
      <c r="H52" s="23"/>
    </row>
    <row r="53" spans="2:8">
      <c r="B53" s="86">
        <f t="shared" si="3"/>
        <v>2032</v>
      </c>
      <c r="C53" s="87">
        <f t="shared" si="3"/>
        <v>20</v>
      </c>
      <c r="D53" s="88">
        <f t="shared" si="2"/>
        <v>737974.68354430387</v>
      </c>
      <c r="E53" s="88">
        <f t="shared" si="1"/>
        <v>413293.82571147196</v>
      </c>
      <c r="F53" s="89"/>
      <c r="G53" s="1"/>
      <c r="H53" s="23"/>
    </row>
    <row r="54" spans="2:8">
      <c r="B54" s="86">
        <f t="shared" si="3"/>
        <v>2033</v>
      </c>
      <c r="C54" s="87">
        <f t="shared" si="3"/>
        <v>21</v>
      </c>
      <c r="D54" s="88">
        <f t="shared" si="2"/>
        <v>737974.68354430387</v>
      </c>
      <c r="E54" s="88">
        <f t="shared" si="1"/>
        <v>401485.43069114414</v>
      </c>
      <c r="F54" s="89"/>
      <c r="G54" s="1"/>
      <c r="H54" s="23"/>
    </row>
    <row r="55" spans="2:8">
      <c r="B55" s="86">
        <f t="shared" si="3"/>
        <v>2034</v>
      </c>
      <c r="C55" s="87">
        <f t="shared" si="3"/>
        <v>22</v>
      </c>
      <c r="D55" s="88">
        <f t="shared" si="2"/>
        <v>737974.68354430387</v>
      </c>
      <c r="E55" s="88">
        <f t="shared" si="1"/>
        <v>390014.41838568286</v>
      </c>
      <c r="F55" s="89"/>
      <c r="G55" s="1"/>
      <c r="H55" s="23"/>
    </row>
    <row r="56" spans="2:8">
      <c r="B56" s="86">
        <f t="shared" si="3"/>
        <v>2035</v>
      </c>
      <c r="C56" s="87">
        <f t="shared" si="3"/>
        <v>23</v>
      </c>
      <c r="D56" s="88">
        <f t="shared" si="2"/>
        <v>737974.68354430387</v>
      </c>
      <c r="E56" s="88">
        <f t="shared" si="1"/>
        <v>378871.14928894903</v>
      </c>
      <c r="F56" s="89"/>
      <c r="G56" s="1"/>
      <c r="H56" s="23"/>
    </row>
    <row r="57" spans="2:8">
      <c r="B57" s="86">
        <f t="shared" si="3"/>
        <v>2036</v>
      </c>
      <c r="C57" s="87">
        <f t="shared" si="3"/>
        <v>24</v>
      </c>
      <c r="D57" s="88">
        <f t="shared" si="2"/>
        <v>737974.68354430387</v>
      </c>
      <c r="E57" s="88">
        <f t="shared" si="1"/>
        <v>368046.25930926466</v>
      </c>
      <c r="F57" s="89"/>
      <c r="G57" s="1"/>
      <c r="H57" s="23"/>
    </row>
    <row r="58" spans="2:8">
      <c r="B58" s="86">
        <f t="shared" si="3"/>
        <v>2037</v>
      </c>
      <c r="C58" s="87">
        <f t="shared" si="3"/>
        <v>25</v>
      </c>
      <c r="D58" s="88">
        <f t="shared" si="2"/>
        <v>737974.68354430387</v>
      </c>
      <c r="E58" s="88">
        <f t="shared" si="1"/>
        <v>357530.65190042852</v>
      </c>
      <c r="F58" s="89"/>
      <c r="G58" s="1"/>
      <c r="H58" s="23"/>
    </row>
    <row r="59" spans="2:8">
      <c r="B59" s="86">
        <f t="shared" si="3"/>
        <v>2038</v>
      </c>
      <c r="C59" s="87">
        <f t="shared" si="3"/>
        <v>26</v>
      </c>
      <c r="D59" s="88">
        <f t="shared" si="2"/>
        <v>737974.68354430387</v>
      </c>
      <c r="E59" s="88">
        <f t="shared" si="1"/>
        <v>347315.49041755911</v>
      </c>
      <c r="F59" s="89"/>
      <c r="G59" s="1"/>
      <c r="H59" s="23"/>
    </row>
    <row r="60" spans="2:8">
      <c r="B60" s="86">
        <f t="shared" si="3"/>
        <v>2039</v>
      </c>
      <c r="C60" s="87">
        <f t="shared" si="3"/>
        <v>27</v>
      </c>
      <c r="D60" s="88">
        <f t="shared" si="2"/>
        <v>737974.68354430387</v>
      </c>
      <c r="E60" s="88">
        <f t="shared" si="1"/>
        <v>337392.1906913431</v>
      </c>
      <c r="F60" s="89"/>
      <c r="G60" s="1"/>
      <c r="H60" s="23"/>
    </row>
    <row r="61" spans="2:8">
      <c r="B61" s="86">
        <f t="shared" si="3"/>
        <v>2040</v>
      </c>
      <c r="C61" s="87">
        <f t="shared" si="3"/>
        <v>28</v>
      </c>
      <c r="D61" s="88">
        <f t="shared" si="2"/>
        <v>737974.68354430387</v>
      </c>
      <c r="E61" s="88">
        <f t="shared" si="1"/>
        <v>327752.41381444759</v>
      </c>
      <c r="F61" s="89"/>
      <c r="G61" s="1"/>
      <c r="H61" s="23"/>
    </row>
    <row r="62" spans="2:8">
      <c r="B62" s="86">
        <f t="shared" si="3"/>
        <v>2041</v>
      </c>
      <c r="C62" s="87">
        <f t="shared" si="3"/>
        <v>29</v>
      </c>
      <c r="D62" s="88">
        <f t="shared" si="2"/>
        <v>737974.68354430387</v>
      </c>
      <c r="E62" s="88">
        <f t="shared" si="1"/>
        <v>318388.05913403473</v>
      </c>
      <c r="F62" s="89"/>
      <c r="G62" s="1"/>
      <c r="H62" s="23"/>
    </row>
    <row r="63" spans="2:8">
      <c r="B63" s="86">
        <f t="shared" si="3"/>
        <v>2042</v>
      </c>
      <c r="C63" s="87">
        <f t="shared" si="3"/>
        <v>30</v>
      </c>
      <c r="D63" s="88">
        <f t="shared" si="2"/>
        <v>737974.68354430387</v>
      </c>
      <c r="E63" s="88">
        <f t="shared" si="1"/>
        <v>309291.25744449091</v>
      </c>
      <c r="F63" s="89"/>
      <c r="G63" s="1"/>
      <c r="H63" s="23"/>
    </row>
    <row r="64" spans="2:8">
      <c r="B64" s="86">
        <f t="shared" si="3"/>
        <v>2043</v>
      </c>
      <c r="C64" s="87">
        <f t="shared" si="3"/>
        <v>31</v>
      </c>
      <c r="D64" s="88">
        <f t="shared" si="2"/>
        <v>737974.68354430387</v>
      </c>
      <c r="E64" s="88">
        <f t="shared" si="1"/>
        <v>300454.36437464831</v>
      </c>
      <c r="F64" s="89"/>
      <c r="G64" s="1"/>
      <c r="H64" s="23"/>
    </row>
    <row r="65" spans="2:8">
      <c r="B65" s="86">
        <f t="shared" si="3"/>
        <v>2044</v>
      </c>
      <c r="C65" s="87">
        <f t="shared" si="3"/>
        <v>32</v>
      </c>
      <c r="D65" s="88">
        <f t="shared" si="2"/>
        <v>737974.68354430387</v>
      </c>
      <c r="E65" s="88">
        <f t="shared" si="1"/>
        <v>291869.95396394399</v>
      </c>
      <c r="F65" s="89"/>
      <c r="G65" s="1"/>
      <c r="H65" s="23"/>
    </row>
    <row r="66" spans="2:8">
      <c r="B66" s="86">
        <f t="shared" ref="B66:C73" si="4">B65+1</f>
        <v>2045</v>
      </c>
      <c r="C66" s="87">
        <f t="shared" si="4"/>
        <v>33</v>
      </c>
      <c r="D66" s="88">
        <f t="shared" si="2"/>
        <v>737974.68354430387</v>
      </c>
      <c r="E66" s="88">
        <f t="shared" si="1"/>
        <v>283530.81242211699</v>
      </c>
      <c r="F66" s="89"/>
      <c r="G66" s="1"/>
      <c r="H66" s="23"/>
    </row>
    <row r="67" spans="2:8">
      <c r="B67" s="86">
        <f t="shared" si="4"/>
        <v>2046</v>
      </c>
      <c r="C67" s="87">
        <f t="shared" si="4"/>
        <v>34</v>
      </c>
      <c r="D67" s="88">
        <f t="shared" si="2"/>
        <v>737974.68354430387</v>
      </c>
      <c r="E67" s="88">
        <f t="shared" si="1"/>
        <v>275429.93206719938</v>
      </c>
      <c r="F67" s="89"/>
      <c r="G67" s="1"/>
      <c r="H67" s="23"/>
    </row>
    <row r="68" spans="2:8">
      <c r="B68" s="86">
        <f t="shared" si="4"/>
        <v>2047</v>
      </c>
      <c r="C68" s="87">
        <f t="shared" si="4"/>
        <v>35</v>
      </c>
      <c r="D68" s="88">
        <f t="shared" si="2"/>
        <v>737974.68354430387</v>
      </c>
      <c r="E68" s="88">
        <f t="shared" si="1"/>
        <v>267560.50543670793</v>
      </c>
      <c r="F68" s="89"/>
      <c r="G68" s="1"/>
      <c r="H68" s="23"/>
    </row>
    <row r="69" spans="2:8">
      <c r="B69" s="86">
        <f t="shared" si="4"/>
        <v>2048</v>
      </c>
      <c r="C69" s="87">
        <f t="shared" si="4"/>
        <v>36</v>
      </c>
      <c r="D69" s="88">
        <f t="shared" si="2"/>
        <v>737974.68354430387</v>
      </c>
      <c r="E69" s="88">
        <f t="shared" si="1"/>
        <v>259915.91956708767</v>
      </c>
      <c r="F69" s="89"/>
      <c r="G69" s="1"/>
      <c r="H69" s="23"/>
    </row>
    <row r="70" spans="2:8">
      <c r="B70" s="86">
        <f t="shared" si="4"/>
        <v>2049</v>
      </c>
      <c r="C70" s="87">
        <f t="shared" si="4"/>
        <v>37</v>
      </c>
      <c r="D70" s="88">
        <f t="shared" si="2"/>
        <v>737974.68354430387</v>
      </c>
      <c r="E70" s="88">
        <f t="shared" si="1"/>
        <v>252489.75043659945</v>
      </c>
      <c r="F70" s="89"/>
      <c r="G70" s="1"/>
      <c r="H70" s="23"/>
    </row>
    <row r="71" spans="2:8">
      <c r="B71" s="86">
        <f t="shared" si="4"/>
        <v>2050</v>
      </c>
      <c r="C71" s="87">
        <f t="shared" si="4"/>
        <v>38</v>
      </c>
      <c r="D71" s="88">
        <f t="shared" si="2"/>
        <v>737974.68354430387</v>
      </c>
      <c r="E71" s="88">
        <f t="shared" si="1"/>
        <v>245275.7575669823</v>
      </c>
      <c r="F71" s="89"/>
      <c r="G71" s="1"/>
      <c r="H71" s="23"/>
    </row>
    <row r="72" spans="2:8">
      <c r="B72" s="86">
        <f t="shared" si="4"/>
        <v>2051</v>
      </c>
      <c r="C72" s="87">
        <f t="shared" si="4"/>
        <v>39</v>
      </c>
      <c r="D72" s="88">
        <f t="shared" si="2"/>
        <v>737974.68354430387</v>
      </c>
      <c r="E72" s="88">
        <f t="shared" si="1"/>
        <v>238267.87877935421</v>
      </c>
      <c r="F72" s="89"/>
      <c r="G72" s="1"/>
      <c r="H72" s="23"/>
    </row>
    <row r="73" spans="2:8" ht="15.75" thickBot="1">
      <c r="B73" s="51">
        <f t="shared" si="4"/>
        <v>2052</v>
      </c>
      <c r="C73" s="92">
        <f t="shared" si="4"/>
        <v>40</v>
      </c>
      <c r="D73" s="94">
        <f t="shared" si="2"/>
        <v>737974.68354430387</v>
      </c>
      <c r="E73" s="94">
        <f t="shared" si="1"/>
        <v>231460.22509994404</v>
      </c>
      <c r="F73" s="97"/>
      <c r="G73" s="1"/>
      <c r="H73" s="23"/>
    </row>
    <row r="74" spans="2:8">
      <c r="B74" s="34"/>
      <c r="C74" s="34"/>
      <c r="D74" s="35"/>
      <c r="E74" s="36"/>
      <c r="F74" s="36"/>
      <c r="G74" s="30"/>
      <c r="H74" s="30"/>
    </row>
  </sheetData>
  <sheetProtection password="C907" sheet="1" objects="1" scenarios="1"/>
  <mergeCells count="14">
    <mergeCell ref="A3:F5"/>
    <mergeCell ref="B29:F29"/>
    <mergeCell ref="E23:H23"/>
    <mergeCell ref="E21:H21"/>
    <mergeCell ref="E24:H24"/>
    <mergeCell ref="E25:H25"/>
    <mergeCell ref="E27:H27"/>
    <mergeCell ref="E22:H22"/>
    <mergeCell ref="E7:H7"/>
    <mergeCell ref="E8:H8"/>
    <mergeCell ref="E11:H11"/>
    <mergeCell ref="E19:H19"/>
    <mergeCell ref="E20:H20"/>
    <mergeCell ref="E9:H10"/>
  </mergeCells>
  <pageMargins left="0.70866141732283472"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79"/>
  <sheetViews>
    <sheetView topLeftCell="A21" zoomScaleNormal="100" workbookViewId="0">
      <selection activeCell="D25" sqref="D25"/>
    </sheetView>
  </sheetViews>
  <sheetFormatPr defaultRowHeight="15"/>
  <cols>
    <col min="1" max="1" width="46.140625" customWidth="1"/>
    <col min="2" max="2" width="12" style="26" customWidth="1"/>
    <col min="3" max="3" width="17.42578125" bestFit="1" customWidth="1"/>
    <col min="4" max="4" width="16" customWidth="1"/>
    <col min="5" max="5" width="18" customWidth="1"/>
    <col min="6" max="6" width="21" customWidth="1"/>
    <col min="7" max="7" width="22" customWidth="1"/>
    <col min="8" max="8" width="19" customWidth="1"/>
    <col min="9" max="9" width="21.5703125" customWidth="1"/>
  </cols>
  <sheetData>
    <row r="1" spans="1:11" ht="18">
      <c r="A1" s="38" t="s">
        <v>227</v>
      </c>
      <c r="E1" s="37" t="s">
        <v>91</v>
      </c>
    </row>
    <row r="2" spans="1:11">
      <c r="A2" s="38"/>
      <c r="B2" s="140"/>
      <c r="E2" s="37"/>
    </row>
    <row r="3" spans="1:11">
      <c r="A3" s="292" t="s">
        <v>268</v>
      </c>
      <c r="B3" s="293"/>
      <c r="C3" s="293"/>
      <c r="D3" s="293"/>
      <c r="E3" s="293"/>
      <c r="F3" s="294"/>
    </row>
    <row r="4" spans="1:11">
      <c r="A4" s="295"/>
      <c r="B4" s="296"/>
      <c r="C4" s="296"/>
      <c r="D4" s="296"/>
      <c r="E4" s="296"/>
      <c r="F4" s="297"/>
    </row>
    <row r="5" spans="1:11">
      <c r="A5" s="298"/>
      <c r="B5" s="299"/>
      <c r="C5" s="299"/>
      <c r="D5" s="299"/>
      <c r="E5" s="299"/>
      <c r="F5" s="300"/>
    </row>
    <row r="7" spans="1:11">
      <c r="A7" s="25" t="s">
        <v>35</v>
      </c>
      <c r="B7" s="25" t="s">
        <v>24</v>
      </c>
      <c r="E7" s="289" t="s">
        <v>22</v>
      </c>
      <c r="F7" s="290"/>
      <c r="G7" s="290"/>
      <c r="H7" s="291"/>
      <c r="I7" s="18"/>
      <c r="J7" s="18"/>
      <c r="K7" s="18"/>
    </row>
    <row r="8" spans="1:11" ht="15" customHeight="1">
      <c r="A8" s="108" t="s">
        <v>163</v>
      </c>
      <c r="B8" s="11"/>
      <c r="C8" s="109">
        <f>'Input Information'!G44</f>
        <v>25000000</v>
      </c>
      <c r="E8" s="312" t="str">
        <f>"Identified at a first glace as annual expenses in "&amp;B38&amp;" currency on input information worksheet; if any additional sub-categories were identified on that worksheet, they will be included in the total but not shown in this subcost list"</f>
        <v>Identified at a first glace as annual expenses in 2012 currency on input information worksheet; if any additional sub-categories were identified on that worksheet, they will be included in the total but not shown in this subcost list</v>
      </c>
      <c r="F8" s="313"/>
      <c r="G8" s="313"/>
      <c r="H8" s="314"/>
      <c r="I8" s="32"/>
      <c r="J8" s="32"/>
      <c r="K8" s="32"/>
    </row>
    <row r="9" spans="1:11">
      <c r="A9" s="13" t="s">
        <v>10</v>
      </c>
      <c r="B9" s="11"/>
      <c r="C9" s="52">
        <f>'Input Information'!G45</f>
        <v>5000000</v>
      </c>
      <c r="E9" s="315"/>
      <c r="F9" s="316"/>
      <c r="G9" s="316"/>
      <c r="H9" s="317"/>
      <c r="I9" s="32"/>
      <c r="J9" s="32"/>
      <c r="K9" s="32"/>
    </row>
    <row r="10" spans="1:11">
      <c r="A10" s="13" t="s">
        <v>11</v>
      </c>
      <c r="B10" s="11"/>
      <c r="C10" s="52">
        <f>'Input Information'!G47</f>
        <v>7500000</v>
      </c>
      <c r="E10" s="315"/>
      <c r="F10" s="316"/>
      <c r="G10" s="316"/>
      <c r="H10" s="317"/>
      <c r="I10" s="32"/>
      <c r="J10" s="32"/>
      <c r="K10" s="32"/>
    </row>
    <row r="11" spans="1:11">
      <c r="A11" s="13" t="s">
        <v>12</v>
      </c>
      <c r="B11" s="11"/>
      <c r="C11" s="52">
        <f>'Input Information'!G49</f>
        <v>5000000</v>
      </c>
      <c r="E11" s="315"/>
      <c r="F11" s="316"/>
      <c r="G11" s="316"/>
      <c r="H11" s="317"/>
      <c r="I11" s="32"/>
      <c r="J11" s="32"/>
      <c r="K11" s="32"/>
    </row>
    <row r="12" spans="1:11">
      <c r="A12" s="13" t="s">
        <v>13</v>
      </c>
      <c r="B12" s="11"/>
      <c r="C12" s="52">
        <f>'Input Information'!G50</f>
        <v>2500000</v>
      </c>
      <c r="E12" s="315"/>
      <c r="F12" s="316"/>
      <c r="G12" s="316"/>
      <c r="H12" s="317"/>
      <c r="I12" s="32"/>
      <c r="J12" s="32"/>
      <c r="K12" s="32"/>
    </row>
    <row r="13" spans="1:11">
      <c r="A13" s="13" t="s">
        <v>176</v>
      </c>
      <c r="B13" s="11"/>
      <c r="C13" s="52">
        <f>'Input Information'!G51</f>
        <v>1250000</v>
      </c>
      <c r="E13" s="315"/>
      <c r="F13" s="316"/>
      <c r="G13" s="316"/>
      <c r="H13" s="317"/>
      <c r="I13" s="32"/>
      <c r="J13" s="32"/>
      <c r="K13" s="32"/>
    </row>
    <row r="14" spans="1:11">
      <c r="A14" s="13" t="s">
        <v>14</v>
      </c>
      <c r="B14" s="11"/>
      <c r="C14" s="52">
        <f>'Input Information'!G53</f>
        <v>2500000</v>
      </c>
      <c r="E14" s="315"/>
      <c r="F14" s="316"/>
      <c r="G14" s="316"/>
      <c r="H14" s="317"/>
      <c r="I14" s="32"/>
      <c r="J14" s="32"/>
      <c r="K14" s="32"/>
    </row>
    <row r="15" spans="1:11">
      <c r="A15" s="13" t="s">
        <v>15</v>
      </c>
      <c r="B15" s="11"/>
      <c r="C15" s="52">
        <f>'Input Information'!G54</f>
        <v>1250000</v>
      </c>
      <c r="E15" s="318"/>
      <c r="F15" s="319"/>
      <c r="G15" s="319"/>
      <c r="H15" s="320"/>
      <c r="I15" s="32"/>
      <c r="J15" s="32"/>
      <c r="K15" s="32"/>
    </row>
    <row r="16" spans="1:11" ht="30" customHeight="1">
      <c r="A16" s="13" t="s">
        <v>36</v>
      </c>
      <c r="B16" s="11"/>
      <c r="C16" s="53">
        <f>'Input Information'!G17</f>
        <v>40</v>
      </c>
      <c r="D16" s="13" t="s">
        <v>37</v>
      </c>
      <c r="E16" s="262" t="s">
        <v>232</v>
      </c>
      <c r="F16" s="263"/>
      <c r="G16" s="263"/>
      <c r="H16" s="264"/>
    </row>
    <row r="17" spans="1:11">
      <c r="A17" s="43" t="s">
        <v>122</v>
      </c>
      <c r="B17" s="41" t="s">
        <v>118</v>
      </c>
      <c r="C17" s="53">
        <f>'Input Information'!G34</f>
        <v>1</v>
      </c>
    </row>
    <row r="18" spans="1:11">
      <c r="A18" s="43" t="s">
        <v>121</v>
      </c>
      <c r="B18" s="41" t="s">
        <v>119</v>
      </c>
      <c r="C18" s="54">
        <f>'Input Information'!F80</f>
        <v>0.05</v>
      </c>
    </row>
    <row r="19" spans="1:11">
      <c r="A19" s="43" t="s">
        <v>40</v>
      </c>
      <c r="B19" s="41" t="s">
        <v>120</v>
      </c>
      <c r="C19" s="54">
        <f>'Input Information'!F81</f>
        <v>0.02</v>
      </c>
    </row>
    <row r="20" spans="1:11">
      <c r="A20" t="s">
        <v>39</v>
      </c>
      <c r="B20" s="11"/>
      <c r="C20" s="57">
        <f>'Input Information'!F82</f>
        <v>2.941176470588247E-2</v>
      </c>
    </row>
    <row r="21" spans="1:11">
      <c r="B21" s="11"/>
      <c r="E21" s="13"/>
      <c r="F21" s="13"/>
      <c r="G21" s="13"/>
      <c r="H21" s="13"/>
      <c r="I21" s="13"/>
      <c r="J21" s="13"/>
      <c r="K21" s="13"/>
    </row>
    <row r="22" spans="1:11">
      <c r="A22" s="10" t="s">
        <v>23</v>
      </c>
      <c r="B22" s="11"/>
      <c r="E22" s="13"/>
      <c r="F22" s="13"/>
      <c r="G22" s="13"/>
      <c r="H22" s="13"/>
      <c r="I22" s="13"/>
      <c r="J22" s="13"/>
      <c r="K22" s="13"/>
    </row>
    <row r="23" spans="1:11">
      <c r="A23" s="10"/>
      <c r="B23" s="11"/>
      <c r="E23" s="13"/>
      <c r="F23" s="13"/>
      <c r="G23" s="13"/>
      <c r="H23" s="13"/>
      <c r="I23" s="13"/>
      <c r="J23" s="13"/>
      <c r="K23" s="13"/>
    </row>
    <row r="24" spans="1:11" ht="30">
      <c r="A24" s="29" t="s">
        <v>249</v>
      </c>
      <c r="B24" s="11"/>
      <c r="C24" s="52">
        <f>'B-Overhead'!C24</f>
        <v>5000000</v>
      </c>
      <c r="E24" s="262" t="str">
        <f>"These are treated as annual costs, "&amp;B38&amp;" currency"</f>
        <v>These are treated as annual costs, 2012 currency</v>
      </c>
      <c r="F24" s="263"/>
      <c r="G24" s="263"/>
      <c r="H24" s="264"/>
      <c r="I24" s="13"/>
      <c r="J24" s="13"/>
      <c r="K24" s="13"/>
    </row>
    <row r="25" spans="1:11" ht="79.5" customHeight="1">
      <c r="A25" s="29" t="s">
        <v>250</v>
      </c>
      <c r="B25" s="12" t="s">
        <v>73</v>
      </c>
      <c r="C25" s="125">
        <v>2000000</v>
      </c>
      <c r="E25" s="271" t="s">
        <v>289</v>
      </c>
      <c r="F25" s="272"/>
      <c r="G25" s="272"/>
      <c r="H25" s="273"/>
      <c r="I25" s="13"/>
      <c r="J25" s="13"/>
      <c r="K25" s="13"/>
    </row>
    <row r="26" spans="1:11" ht="63" customHeight="1">
      <c r="A26" s="29" t="s">
        <v>251</v>
      </c>
      <c r="B26" s="11" t="s">
        <v>29</v>
      </c>
      <c r="C26" s="125">
        <v>4000000</v>
      </c>
      <c r="E26" s="271" t="s">
        <v>290</v>
      </c>
      <c r="F26" s="272"/>
      <c r="G26" s="272"/>
      <c r="H26" s="273"/>
      <c r="I26" s="13"/>
      <c r="J26" s="13"/>
      <c r="K26" s="13"/>
    </row>
    <row r="27" spans="1:11" ht="30">
      <c r="A27" s="4" t="s">
        <v>252</v>
      </c>
      <c r="B27" s="11" t="s">
        <v>58</v>
      </c>
      <c r="C27" s="52">
        <f>C8+C24-C25-C26</f>
        <v>24000000</v>
      </c>
      <c r="E27" s="271" t="s">
        <v>74</v>
      </c>
      <c r="F27" s="272"/>
      <c r="G27" s="272"/>
      <c r="H27" s="273"/>
      <c r="I27" s="13"/>
      <c r="J27" s="13"/>
      <c r="K27" s="13"/>
    </row>
    <row r="28" spans="1:11" s="43" customFormat="1">
      <c r="A28" s="110"/>
      <c r="B28" s="41"/>
      <c r="C28" s="44"/>
      <c r="E28" s="77"/>
      <c r="F28" s="77"/>
      <c r="G28" s="77"/>
      <c r="H28" s="77"/>
      <c r="I28" s="40"/>
      <c r="J28" s="40"/>
      <c r="K28" s="40"/>
    </row>
    <row r="29" spans="1:11" ht="18">
      <c r="A29" s="47" t="s">
        <v>75</v>
      </c>
      <c r="B29" s="11"/>
      <c r="C29" s="44"/>
      <c r="E29" s="16"/>
      <c r="F29" s="16"/>
      <c r="G29" s="16"/>
      <c r="H29" s="16"/>
      <c r="I29" s="13"/>
      <c r="J29" s="13"/>
      <c r="K29" s="13"/>
    </row>
    <row r="30" spans="1:11" ht="30">
      <c r="A30" s="29" t="s">
        <v>253</v>
      </c>
      <c r="B30" s="12" t="s">
        <v>76</v>
      </c>
      <c r="C30" s="61">
        <f>'Neutron Utilisation-C'!G36</f>
        <v>276.5</v>
      </c>
      <c r="D30" s="4"/>
      <c r="E30" s="271" t="s">
        <v>135</v>
      </c>
      <c r="F30" s="272"/>
      <c r="G30" s="272"/>
      <c r="H30" s="273"/>
      <c r="I30" s="13"/>
      <c r="J30" s="13"/>
      <c r="K30" s="13"/>
    </row>
    <row r="31" spans="1:11" ht="32.25" customHeight="1">
      <c r="A31" s="29" t="s">
        <v>277</v>
      </c>
      <c r="B31" s="12" t="s">
        <v>77</v>
      </c>
      <c r="C31" s="62">
        <f>'Neutron Utilisation-C'!C36</f>
        <v>92.75</v>
      </c>
      <c r="D31" s="4"/>
      <c r="E31" s="271" t="s">
        <v>135</v>
      </c>
      <c r="F31" s="272"/>
      <c r="G31" s="272"/>
      <c r="H31" s="273"/>
      <c r="I31" s="13"/>
      <c r="J31" s="13"/>
      <c r="K31" s="13"/>
    </row>
    <row r="32" spans="1:11" ht="18">
      <c r="A32" s="4" t="s">
        <v>254</v>
      </c>
      <c r="B32" s="11" t="s">
        <v>59</v>
      </c>
      <c r="C32" s="55">
        <f>C31/C30</f>
        <v>0.33544303797468356</v>
      </c>
      <c r="I32" s="5"/>
    </row>
    <row r="33" spans="1:9" ht="15.75" thickBot="1">
      <c r="A33" s="4"/>
      <c r="B33" s="11"/>
    </row>
    <row r="34" spans="1:9" ht="15" customHeight="1">
      <c r="B34" s="259" t="s">
        <v>156</v>
      </c>
      <c r="C34" s="260"/>
      <c r="D34" s="260"/>
      <c r="E34" s="260"/>
      <c r="F34" s="261"/>
      <c r="G34" s="39"/>
      <c r="H34" s="39"/>
      <c r="I34" s="24"/>
    </row>
    <row r="35" spans="1:9">
      <c r="B35" s="78" t="s">
        <v>68</v>
      </c>
      <c r="C35" s="79" t="s">
        <v>0</v>
      </c>
      <c r="D35" s="79" t="str">
        <f>"Costs ("&amp;B38&amp;" €)"</f>
        <v>Costs (2012 €)</v>
      </c>
      <c r="E35" s="79" t="s">
        <v>65</v>
      </c>
      <c r="F35" s="80" t="s">
        <v>43</v>
      </c>
      <c r="G35" s="27"/>
      <c r="H35" s="27"/>
    </row>
    <row r="36" spans="1:9">
      <c r="B36" s="78" t="s">
        <v>3</v>
      </c>
      <c r="C36" s="79"/>
      <c r="D36" s="81">
        <f>SUM(D39:D78)</f>
        <v>322025316.45569587</v>
      </c>
      <c r="E36" s="81">
        <f>SUM(E39:E78)</f>
        <v>187870817.31390736</v>
      </c>
      <c r="F36" s="82"/>
      <c r="G36" s="22"/>
      <c r="H36" s="22"/>
    </row>
    <row r="37" spans="1:9">
      <c r="B37" s="83"/>
      <c r="C37" s="84"/>
      <c r="D37" s="84"/>
      <c r="E37" s="84"/>
      <c r="F37" s="85"/>
      <c r="G37" s="27"/>
      <c r="H37" s="27"/>
    </row>
    <row r="38" spans="1:9">
      <c r="B38" s="86">
        <f>'Input Information'!G18</f>
        <v>2012</v>
      </c>
      <c r="C38" s="87">
        <v>0</v>
      </c>
      <c r="D38" s="88"/>
      <c r="E38" s="88"/>
      <c r="F38" s="89"/>
      <c r="G38" s="1"/>
      <c r="H38" s="1"/>
    </row>
    <row r="39" spans="1:9">
      <c r="B39" s="86">
        <f t="shared" ref="B39:C54" si="0">B38+1</f>
        <v>2013</v>
      </c>
      <c r="C39" s="87">
        <f t="shared" si="0"/>
        <v>1</v>
      </c>
      <c r="D39" s="88">
        <f>$C$27*$C$32</f>
        <v>8050632.9113924056</v>
      </c>
      <c r="E39" s="88">
        <f t="shared" ref="E39:E78" si="1">D39/((1+$C$20)^(C39))</f>
        <v>7820614.8282097643</v>
      </c>
      <c r="F39" s="89"/>
      <c r="G39" s="1"/>
      <c r="H39" s="23"/>
    </row>
    <row r="40" spans="1:9">
      <c r="B40" s="86">
        <f t="shared" si="0"/>
        <v>2014</v>
      </c>
      <c r="C40" s="87">
        <f t="shared" si="0"/>
        <v>2</v>
      </c>
      <c r="D40" s="88">
        <f t="shared" ref="D40:D78" si="2">$C$27*$C$32</f>
        <v>8050632.9113924056</v>
      </c>
      <c r="E40" s="88">
        <f t="shared" si="1"/>
        <v>7597168.6902609132</v>
      </c>
      <c r="F40" s="89"/>
      <c r="G40" s="1"/>
      <c r="H40" s="23"/>
    </row>
    <row r="41" spans="1:9">
      <c r="B41" s="86">
        <f t="shared" si="0"/>
        <v>2015</v>
      </c>
      <c r="C41" s="87">
        <f t="shared" si="0"/>
        <v>3</v>
      </c>
      <c r="D41" s="88">
        <f t="shared" si="2"/>
        <v>8050632.9113924056</v>
      </c>
      <c r="E41" s="88">
        <f t="shared" si="1"/>
        <v>7380106.7276820298</v>
      </c>
      <c r="F41" s="89"/>
      <c r="G41" s="1"/>
      <c r="H41" s="23"/>
    </row>
    <row r="42" spans="1:9">
      <c r="B42" s="86">
        <f t="shared" si="0"/>
        <v>2016</v>
      </c>
      <c r="C42" s="87">
        <f t="shared" si="0"/>
        <v>4</v>
      </c>
      <c r="D42" s="88">
        <f t="shared" si="2"/>
        <v>8050632.9113924056</v>
      </c>
      <c r="E42" s="88">
        <f t="shared" si="1"/>
        <v>7169246.5354625424</v>
      </c>
      <c r="F42" s="89"/>
      <c r="G42" s="1"/>
      <c r="H42" s="23"/>
    </row>
    <row r="43" spans="1:9">
      <c r="B43" s="86">
        <f t="shared" si="0"/>
        <v>2017</v>
      </c>
      <c r="C43" s="87">
        <f t="shared" si="0"/>
        <v>5</v>
      </c>
      <c r="D43" s="88">
        <f t="shared" si="2"/>
        <v>8050632.9113924056</v>
      </c>
      <c r="E43" s="88">
        <f t="shared" si="1"/>
        <v>6964410.9201636119</v>
      </c>
      <c r="F43" s="89"/>
      <c r="G43" s="1"/>
      <c r="H43" s="23"/>
    </row>
    <row r="44" spans="1:9">
      <c r="B44" s="86">
        <f t="shared" si="0"/>
        <v>2018</v>
      </c>
      <c r="C44" s="87">
        <f t="shared" si="0"/>
        <v>6</v>
      </c>
      <c r="D44" s="88">
        <f t="shared" si="2"/>
        <v>8050632.9113924056</v>
      </c>
      <c r="E44" s="88">
        <f t="shared" si="1"/>
        <v>6765427.7510160794</v>
      </c>
      <c r="F44" s="89"/>
      <c r="G44" s="1"/>
      <c r="H44" s="23"/>
    </row>
    <row r="45" spans="1:9">
      <c r="B45" s="86">
        <f t="shared" si="0"/>
        <v>2019</v>
      </c>
      <c r="C45" s="87">
        <f t="shared" si="0"/>
        <v>7</v>
      </c>
      <c r="D45" s="88">
        <f t="shared" si="2"/>
        <v>8050632.9113924056</v>
      </c>
      <c r="E45" s="88">
        <f t="shared" si="1"/>
        <v>6572129.8152727624</v>
      </c>
      <c r="F45" s="89"/>
      <c r="G45" s="1"/>
      <c r="H45" s="23"/>
    </row>
    <row r="46" spans="1:9">
      <c r="B46" s="86">
        <f t="shared" si="0"/>
        <v>2020</v>
      </c>
      <c r="C46" s="87">
        <f t="shared" si="0"/>
        <v>8</v>
      </c>
      <c r="D46" s="88">
        <f t="shared" si="2"/>
        <v>8050632.9113924056</v>
      </c>
      <c r="E46" s="88">
        <f t="shared" si="1"/>
        <v>6384354.6776935402</v>
      </c>
      <c r="F46" s="89"/>
      <c r="G46" s="1"/>
      <c r="H46" s="23"/>
    </row>
    <row r="47" spans="1:9">
      <c r="B47" s="86">
        <f t="shared" si="0"/>
        <v>2021</v>
      </c>
      <c r="C47" s="87">
        <f t="shared" si="0"/>
        <v>9</v>
      </c>
      <c r="D47" s="88">
        <f t="shared" si="2"/>
        <v>8050632.9113924056</v>
      </c>
      <c r="E47" s="88">
        <f t="shared" si="1"/>
        <v>6201944.5440451531</v>
      </c>
      <c r="F47" s="89"/>
      <c r="G47" s="1"/>
      <c r="H47" s="23"/>
    </row>
    <row r="48" spans="1:9">
      <c r="B48" s="86">
        <f t="shared" si="0"/>
        <v>2022</v>
      </c>
      <c r="C48" s="87">
        <f t="shared" si="0"/>
        <v>10</v>
      </c>
      <c r="D48" s="88">
        <f t="shared" si="2"/>
        <v>8050632.9113924056</v>
      </c>
      <c r="E48" s="88">
        <f t="shared" si="1"/>
        <v>6024746.1285010045</v>
      </c>
      <c r="F48" s="96"/>
      <c r="G48" s="1"/>
      <c r="H48" s="23"/>
    </row>
    <row r="49" spans="2:8">
      <c r="B49" s="86">
        <f t="shared" si="0"/>
        <v>2023</v>
      </c>
      <c r="C49" s="87">
        <f t="shared" si="0"/>
        <v>11</v>
      </c>
      <c r="D49" s="88">
        <f t="shared" si="2"/>
        <v>8050632.9113924056</v>
      </c>
      <c r="E49" s="88">
        <f t="shared" si="1"/>
        <v>5852610.5248295469</v>
      </c>
      <c r="F49" s="89"/>
      <c r="G49" s="1"/>
      <c r="H49" s="23"/>
    </row>
    <row r="50" spans="2:8">
      <c r="B50" s="86">
        <f t="shared" si="0"/>
        <v>2024</v>
      </c>
      <c r="C50" s="87">
        <f t="shared" si="0"/>
        <v>12</v>
      </c>
      <c r="D50" s="88">
        <f t="shared" si="2"/>
        <v>8050632.9113924056</v>
      </c>
      <c r="E50" s="88">
        <f t="shared" si="1"/>
        <v>5685393.081262988</v>
      </c>
      <c r="F50" s="89"/>
      <c r="G50" s="1"/>
      <c r="H50" s="23"/>
    </row>
    <row r="51" spans="2:8">
      <c r="B51" s="86">
        <f t="shared" si="0"/>
        <v>2025</v>
      </c>
      <c r="C51" s="87">
        <f t="shared" si="0"/>
        <v>13</v>
      </c>
      <c r="D51" s="88">
        <f t="shared" si="2"/>
        <v>8050632.9113924056</v>
      </c>
      <c r="E51" s="88">
        <f t="shared" si="1"/>
        <v>5522953.278941188</v>
      </c>
      <c r="F51" s="89"/>
      <c r="G51" s="1"/>
      <c r="H51" s="23"/>
    </row>
    <row r="52" spans="2:8">
      <c r="B52" s="86">
        <f t="shared" si="0"/>
        <v>2026</v>
      </c>
      <c r="C52" s="87">
        <f t="shared" si="0"/>
        <v>14</v>
      </c>
      <c r="D52" s="88">
        <f t="shared" si="2"/>
        <v>8050632.9113924056</v>
      </c>
      <c r="E52" s="88">
        <f t="shared" si="1"/>
        <v>5365154.6138285818</v>
      </c>
      <c r="F52" s="89"/>
      <c r="G52" s="1"/>
      <c r="H52" s="23"/>
    </row>
    <row r="53" spans="2:8">
      <c r="B53" s="86">
        <f t="shared" si="0"/>
        <v>2027</v>
      </c>
      <c r="C53" s="87">
        <f t="shared" si="0"/>
        <v>15</v>
      </c>
      <c r="D53" s="88">
        <f t="shared" si="2"/>
        <v>8050632.9113924056</v>
      </c>
      <c r="E53" s="88">
        <f t="shared" si="1"/>
        <v>5211864.4820049079</v>
      </c>
      <c r="F53" s="89"/>
      <c r="G53" s="1"/>
      <c r="H53" s="23"/>
    </row>
    <row r="54" spans="2:8">
      <c r="B54" s="86">
        <f t="shared" si="0"/>
        <v>2028</v>
      </c>
      <c r="C54" s="87">
        <f t="shared" si="0"/>
        <v>16</v>
      </c>
      <c r="D54" s="88">
        <f t="shared" si="2"/>
        <v>8050632.9113924056</v>
      </c>
      <c r="E54" s="88">
        <f t="shared" si="1"/>
        <v>5062954.0682333391</v>
      </c>
      <c r="F54" s="89"/>
      <c r="G54" s="1"/>
      <c r="H54" s="23"/>
    </row>
    <row r="55" spans="2:8">
      <c r="B55" s="86">
        <f t="shared" ref="B55:C70" si="3">B54+1</f>
        <v>2029</v>
      </c>
      <c r="C55" s="87">
        <f t="shared" si="3"/>
        <v>17</v>
      </c>
      <c r="D55" s="88">
        <f t="shared" si="2"/>
        <v>8050632.9113924056</v>
      </c>
      <c r="E55" s="88">
        <f t="shared" si="1"/>
        <v>4918298.2377123861</v>
      </c>
      <c r="F55" s="89"/>
      <c r="G55" s="1"/>
      <c r="H55" s="23"/>
    </row>
    <row r="56" spans="2:8">
      <c r="B56" s="86">
        <f t="shared" si="3"/>
        <v>2030</v>
      </c>
      <c r="C56" s="87">
        <f t="shared" si="3"/>
        <v>18</v>
      </c>
      <c r="D56" s="88">
        <f t="shared" si="2"/>
        <v>8050632.9113924056</v>
      </c>
      <c r="E56" s="88">
        <f t="shared" si="1"/>
        <v>4777775.4309206028</v>
      </c>
      <c r="F56" s="89"/>
      <c r="G56" s="1"/>
      <c r="H56" s="23"/>
    </row>
    <row r="57" spans="2:8">
      <c r="B57" s="86">
        <f t="shared" si="3"/>
        <v>2031</v>
      </c>
      <c r="C57" s="87">
        <f t="shared" si="3"/>
        <v>19</v>
      </c>
      <c r="D57" s="88">
        <f t="shared" si="2"/>
        <v>8050632.9113924056</v>
      </c>
      <c r="E57" s="88">
        <f t="shared" si="1"/>
        <v>4641267.5614657281</v>
      </c>
      <c r="F57" s="89"/>
      <c r="G57" s="1"/>
      <c r="H57" s="23"/>
    </row>
    <row r="58" spans="2:8">
      <c r="B58" s="86">
        <f t="shared" si="3"/>
        <v>2032</v>
      </c>
      <c r="C58" s="87">
        <f t="shared" si="3"/>
        <v>20</v>
      </c>
      <c r="D58" s="88">
        <f t="shared" si="2"/>
        <v>8050632.9113924056</v>
      </c>
      <c r="E58" s="88">
        <f t="shared" si="1"/>
        <v>4508659.9168524211</v>
      </c>
      <c r="F58" s="89"/>
      <c r="G58" s="1"/>
      <c r="H58" s="23"/>
    </row>
    <row r="59" spans="2:8">
      <c r="B59" s="86">
        <f t="shared" si="3"/>
        <v>2033</v>
      </c>
      <c r="C59" s="87">
        <f t="shared" si="3"/>
        <v>21</v>
      </c>
      <c r="D59" s="88">
        <f t="shared" si="2"/>
        <v>8050632.9113924056</v>
      </c>
      <c r="E59" s="88">
        <f t="shared" si="1"/>
        <v>4379841.0620852085</v>
      </c>
      <c r="F59" s="89"/>
      <c r="G59" s="1"/>
      <c r="H59" s="23"/>
    </row>
    <row r="60" spans="2:8">
      <c r="B60" s="86">
        <f t="shared" si="3"/>
        <v>2034</v>
      </c>
      <c r="C60" s="87">
        <f t="shared" si="3"/>
        <v>22</v>
      </c>
      <c r="D60" s="88">
        <f t="shared" si="2"/>
        <v>8050632.9113924056</v>
      </c>
      <c r="E60" s="88">
        <f t="shared" si="1"/>
        <v>4254702.7460256312</v>
      </c>
      <c r="F60" s="89"/>
      <c r="G60" s="1"/>
      <c r="H60" s="23"/>
    </row>
    <row r="61" spans="2:8">
      <c r="B61" s="86">
        <f t="shared" si="3"/>
        <v>2035</v>
      </c>
      <c r="C61" s="87">
        <f t="shared" si="3"/>
        <v>23</v>
      </c>
      <c r="D61" s="88">
        <f t="shared" si="2"/>
        <v>8050632.9113924056</v>
      </c>
      <c r="E61" s="88">
        <f t="shared" si="1"/>
        <v>4133139.8104248983</v>
      </c>
      <c r="F61" s="89"/>
      <c r="G61" s="1"/>
      <c r="H61" s="23"/>
    </row>
    <row r="62" spans="2:8">
      <c r="B62" s="86">
        <f t="shared" si="3"/>
        <v>2036</v>
      </c>
      <c r="C62" s="87">
        <f t="shared" si="3"/>
        <v>24</v>
      </c>
      <c r="D62" s="88">
        <f t="shared" si="2"/>
        <v>8050632.9113924056</v>
      </c>
      <c r="E62" s="88">
        <f t="shared" si="1"/>
        <v>4015050.1015556147</v>
      </c>
      <c r="F62" s="89"/>
      <c r="G62" s="1"/>
      <c r="H62" s="23"/>
    </row>
    <row r="63" spans="2:8">
      <c r="B63" s="86">
        <f t="shared" si="3"/>
        <v>2037</v>
      </c>
      <c r="C63" s="87">
        <f t="shared" si="3"/>
        <v>25</v>
      </c>
      <c r="D63" s="88">
        <f t="shared" si="2"/>
        <v>8050632.9113924056</v>
      </c>
      <c r="E63" s="88">
        <f t="shared" si="1"/>
        <v>3900334.3843683111</v>
      </c>
      <c r="F63" s="89"/>
      <c r="G63" s="1"/>
      <c r="H63" s="23"/>
    </row>
    <row r="64" spans="2:8">
      <c r="B64" s="86">
        <f t="shared" si="3"/>
        <v>2038</v>
      </c>
      <c r="C64" s="87">
        <f t="shared" si="3"/>
        <v>26</v>
      </c>
      <c r="D64" s="88">
        <f t="shared" si="2"/>
        <v>8050632.9113924056</v>
      </c>
      <c r="E64" s="88">
        <f t="shared" si="1"/>
        <v>3788896.2591006448</v>
      </c>
      <c r="F64" s="89"/>
      <c r="G64" s="1"/>
      <c r="H64" s="23"/>
    </row>
    <row r="65" spans="2:8">
      <c r="B65" s="86">
        <f t="shared" si="3"/>
        <v>2039</v>
      </c>
      <c r="C65" s="87">
        <f t="shared" si="3"/>
        <v>27</v>
      </c>
      <c r="D65" s="88">
        <f t="shared" si="2"/>
        <v>8050632.9113924056</v>
      </c>
      <c r="E65" s="88">
        <f t="shared" si="1"/>
        <v>3680642.0802691975</v>
      </c>
      <c r="F65" s="89"/>
      <c r="G65" s="1"/>
      <c r="H65" s="23"/>
    </row>
    <row r="66" spans="2:8">
      <c r="B66" s="86">
        <f t="shared" si="3"/>
        <v>2040</v>
      </c>
      <c r="C66" s="87">
        <f t="shared" si="3"/>
        <v>28</v>
      </c>
      <c r="D66" s="88">
        <f t="shared" si="2"/>
        <v>8050632.9113924056</v>
      </c>
      <c r="E66" s="88">
        <f t="shared" si="1"/>
        <v>3575480.8779757917</v>
      </c>
      <c r="F66" s="89"/>
      <c r="G66" s="1"/>
      <c r="H66" s="23"/>
    </row>
    <row r="67" spans="2:8">
      <c r="B67" s="86">
        <f t="shared" si="3"/>
        <v>2041</v>
      </c>
      <c r="C67" s="87">
        <f t="shared" si="3"/>
        <v>29</v>
      </c>
      <c r="D67" s="88">
        <f t="shared" si="2"/>
        <v>8050632.9113924056</v>
      </c>
      <c r="E67" s="88">
        <f t="shared" si="1"/>
        <v>3473324.2814621972</v>
      </c>
      <c r="F67" s="89"/>
      <c r="G67" s="1"/>
      <c r="H67" s="23"/>
    </row>
    <row r="68" spans="2:8">
      <c r="B68" s="86">
        <f t="shared" si="3"/>
        <v>2042</v>
      </c>
      <c r="C68" s="87">
        <f t="shared" si="3"/>
        <v>30</v>
      </c>
      <c r="D68" s="88">
        <f t="shared" si="2"/>
        <v>8050632.9113924056</v>
      </c>
      <c r="E68" s="88">
        <f t="shared" si="1"/>
        <v>3374086.4448489915</v>
      </c>
      <c r="F68" s="89"/>
      <c r="G68" s="1"/>
      <c r="H68" s="23"/>
    </row>
    <row r="69" spans="2:8">
      <c r="B69" s="86">
        <f t="shared" si="3"/>
        <v>2043</v>
      </c>
      <c r="C69" s="87">
        <f t="shared" si="3"/>
        <v>31</v>
      </c>
      <c r="D69" s="88">
        <f t="shared" si="2"/>
        <v>8050632.9113924056</v>
      </c>
      <c r="E69" s="88">
        <f t="shared" si="1"/>
        <v>3277683.974996163</v>
      </c>
      <c r="F69" s="89"/>
      <c r="G69" s="1"/>
      <c r="H69" s="23"/>
    </row>
    <row r="70" spans="2:8">
      <c r="B70" s="86">
        <f t="shared" si="3"/>
        <v>2044</v>
      </c>
      <c r="C70" s="87">
        <f t="shared" si="3"/>
        <v>32</v>
      </c>
      <c r="D70" s="88">
        <f t="shared" si="2"/>
        <v>8050632.9113924056</v>
      </c>
      <c r="E70" s="88">
        <f t="shared" si="1"/>
        <v>3184035.8614248438</v>
      </c>
      <c r="F70" s="89"/>
      <c r="G70" s="1"/>
      <c r="H70" s="23"/>
    </row>
    <row r="71" spans="2:8">
      <c r="B71" s="86">
        <f t="shared" ref="B71:C78" si="4">B70+1</f>
        <v>2045</v>
      </c>
      <c r="C71" s="87">
        <f t="shared" si="4"/>
        <v>33</v>
      </c>
      <c r="D71" s="88">
        <f t="shared" si="2"/>
        <v>8050632.9113924056</v>
      </c>
      <c r="E71" s="88">
        <f t="shared" si="1"/>
        <v>3093063.4082412762</v>
      </c>
      <c r="F71" s="89"/>
      <c r="G71" s="1"/>
      <c r="H71" s="23"/>
    </row>
    <row r="72" spans="2:8">
      <c r="B72" s="86">
        <f t="shared" si="4"/>
        <v>2046</v>
      </c>
      <c r="C72" s="87">
        <f t="shared" si="4"/>
        <v>34</v>
      </c>
      <c r="D72" s="88">
        <f t="shared" si="2"/>
        <v>8050632.9113924056</v>
      </c>
      <c r="E72" s="88">
        <f t="shared" si="1"/>
        <v>3004690.1680058111</v>
      </c>
      <c r="F72" s="89"/>
      <c r="G72" s="1"/>
      <c r="H72" s="23"/>
    </row>
    <row r="73" spans="2:8">
      <c r="B73" s="86">
        <f t="shared" si="4"/>
        <v>2047</v>
      </c>
      <c r="C73" s="87">
        <f t="shared" si="4"/>
        <v>35</v>
      </c>
      <c r="D73" s="88">
        <f t="shared" si="2"/>
        <v>8050632.9113924056</v>
      </c>
      <c r="E73" s="88">
        <f t="shared" si="1"/>
        <v>2918841.8774913591</v>
      </c>
      <c r="F73" s="89"/>
      <c r="G73" s="1"/>
      <c r="H73" s="23"/>
    </row>
    <row r="74" spans="2:8">
      <c r="B74" s="86">
        <f t="shared" si="4"/>
        <v>2048</v>
      </c>
      <c r="C74" s="87">
        <f t="shared" si="4"/>
        <v>36</v>
      </c>
      <c r="D74" s="88">
        <f t="shared" si="2"/>
        <v>8050632.9113924056</v>
      </c>
      <c r="E74" s="88">
        <f t="shared" si="1"/>
        <v>2835446.3952773199</v>
      </c>
      <c r="F74" s="89"/>
      <c r="G74" s="1"/>
      <c r="H74" s="23"/>
    </row>
    <row r="75" spans="2:8">
      <c r="B75" s="86">
        <f t="shared" si="4"/>
        <v>2049</v>
      </c>
      <c r="C75" s="87">
        <f t="shared" si="4"/>
        <v>37</v>
      </c>
      <c r="D75" s="88">
        <f t="shared" si="2"/>
        <v>8050632.9113924056</v>
      </c>
      <c r="E75" s="88">
        <f t="shared" si="1"/>
        <v>2754433.6411265396</v>
      </c>
      <c r="F75" s="89"/>
      <c r="G75" s="1"/>
      <c r="H75" s="23"/>
    </row>
    <row r="76" spans="2:8">
      <c r="B76" s="86">
        <f t="shared" si="4"/>
        <v>2050</v>
      </c>
      <c r="C76" s="87">
        <f t="shared" si="4"/>
        <v>38</v>
      </c>
      <c r="D76" s="88">
        <f t="shared" si="2"/>
        <v>8050632.9113924056</v>
      </c>
      <c r="E76" s="88">
        <f t="shared" si="1"/>
        <v>2675735.5370943523</v>
      </c>
      <c r="F76" s="89"/>
      <c r="G76" s="1"/>
      <c r="H76" s="23"/>
    </row>
    <row r="77" spans="2:8">
      <c r="B77" s="86">
        <f t="shared" si="4"/>
        <v>2051</v>
      </c>
      <c r="C77" s="87">
        <f t="shared" si="4"/>
        <v>39</v>
      </c>
      <c r="D77" s="88">
        <f t="shared" si="2"/>
        <v>8050632.9113924056</v>
      </c>
      <c r="E77" s="88">
        <f t="shared" si="1"/>
        <v>2599285.9503202275</v>
      </c>
      <c r="F77" s="89"/>
      <c r="G77" s="1"/>
      <c r="H77" s="23"/>
    </row>
    <row r="78" spans="2:8" ht="15.75" thickBot="1">
      <c r="B78" s="51">
        <f t="shared" si="4"/>
        <v>2052</v>
      </c>
      <c r="C78" s="92">
        <f t="shared" si="4"/>
        <v>40</v>
      </c>
      <c r="D78" s="94">
        <f t="shared" si="2"/>
        <v>8050632.9113924056</v>
      </c>
      <c r="E78" s="94">
        <f t="shared" si="1"/>
        <v>2525020.6374539351</v>
      </c>
      <c r="F78" s="97"/>
      <c r="G78" s="1"/>
      <c r="H78" s="23"/>
    </row>
    <row r="79" spans="2:8">
      <c r="B79" s="34"/>
      <c r="C79" s="34"/>
      <c r="D79" s="35"/>
      <c r="E79" s="36"/>
      <c r="F79" s="36"/>
      <c r="G79" s="30"/>
      <c r="H79" s="30"/>
    </row>
  </sheetData>
  <sheetProtection password="C907" sheet="1" objects="1" scenarios="1"/>
  <mergeCells count="11">
    <mergeCell ref="A3:F5"/>
    <mergeCell ref="B34:F34"/>
    <mergeCell ref="E7:H7"/>
    <mergeCell ref="E16:H16"/>
    <mergeCell ref="E30:H30"/>
    <mergeCell ref="E31:H31"/>
    <mergeCell ref="E24:H24"/>
    <mergeCell ref="E26:H26"/>
    <mergeCell ref="E25:H25"/>
    <mergeCell ref="E27:H27"/>
    <mergeCell ref="E8:H15"/>
  </mergeCells>
  <pageMargins left="0.70866141732283472" right="0.70866141732283472" top="0.74803149606299213" bottom="0.74803149606299213" header="0.31496062992125984" footer="0.31496062992125984"/>
  <pageSetup paperSize="9" scale="50" fitToHeight="2"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P38"/>
  <sheetViews>
    <sheetView workbookViewId="0">
      <selection activeCell="K39" sqref="K39"/>
    </sheetView>
  </sheetViews>
  <sheetFormatPr defaultRowHeight="15"/>
  <cols>
    <col min="2" max="3" width="9.7109375" customWidth="1"/>
    <col min="7" max="7" width="14.140625" customWidth="1"/>
    <col min="8" max="8" width="3.7109375" customWidth="1"/>
  </cols>
  <sheetData>
    <row r="1" spans="1:16" ht="18">
      <c r="A1" s="38" t="s">
        <v>228</v>
      </c>
      <c r="I1" s="37" t="s">
        <v>92</v>
      </c>
    </row>
    <row r="2" spans="1:16">
      <c r="A2" s="38"/>
    </row>
    <row r="3" spans="1:16" ht="15" customHeight="1">
      <c r="A3" s="332" t="s">
        <v>255</v>
      </c>
      <c r="B3" s="333"/>
      <c r="C3" s="333"/>
      <c r="D3" s="333"/>
      <c r="E3" s="333"/>
      <c r="F3" s="333"/>
      <c r="G3" s="333"/>
      <c r="H3" s="333"/>
      <c r="I3" s="333"/>
      <c r="J3" s="333"/>
      <c r="K3" s="333"/>
      <c r="L3" s="333"/>
      <c r="M3" s="334"/>
    </row>
    <row r="4" spans="1:16">
      <c r="A4" s="335"/>
      <c r="B4" s="336"/>
      <c r="C4" s="336"/>
      <c r="D4" s="336"/>
      <c r="E4" s="336"/>
      <c r="F4" s="336"/>
      <c r="G4" s="336"/>
      <c r="H4" s="336"/>
      <c r="I4" s="336"/>
      <c r="J4" s="336"/>
      <c r="K4" s="336"/>
      <c r="L4" s="336"/>
      <c r="M4" s="337"/>
    </row>
    <row r="5" spans="1:16">
      <c r="A5" s="335"/>
      <c r="B5" s="336"/>
      <c r="C5" s="336"/>
      <c r="D5" s="336"/>
      <c r="E5" s="336"/>
      <c r="F5" s="336"/>
      <c r="G5" s="336"/>
      <c r="H5" s="336"/>
      <c r="I5" s="336"/>
      <c r="J5" s="336"/>
      <c r="K5" s="336"/>
      <c r="L5" s="336"/>
      <c r="M5" s="337"/>
    </row>
    <row r="6" spans="1:16" ht="18" customHeight="1">
      <c r="A6" s="338"/>
      <c r="B6" s="339"/>
      <c r="C6" s="339"/>
      <c r="D6" s="339"/>
      <c r="E6" s="339"/>
      <c r="F6" s="339"/>
      <c r="G6" s="339"/>
      <c r="H6" s="339"/>
      <c r="I6" s="339"/>
      <c r="J6" s="339"/>
      <c r="K6" s="339"/>
      <c r="L6" s="339"/>
      <c r="M6" s="340"/>
    </row>
    <row r="8" spans="1:16">
      <c r="I8" s="329" t="s">
        <v>22</v>
      </c>
      <c r="J8" s="330"/>
      <c r="K8" s="330"/>
      <c r="L8" s="330"/>
      <c r="M8" s="330"/>
      <c r="N8" s="330"/>
      <c r="O8" s="330"/>
      <c r="P8" s="331"/>
    </row>
    <row r="9" spans="1:16">
      <c r="A9" s="342" t="s">
        <v>78</v>
      </c>
      <c r="B9" s="343"/>
      <c r="C9" s="343"/>
      <c r="D9" s="343"/>
      <c r="E9" s="343"/>
      <c r="F9" s="343"/>
      <c r="G9" s="344"/>
      <c r="I9" s="114"/>
      <c r="J9" s="114"/>
      <c r="K9" s="114"/>
      <c r="L9" s="114"/>
      <c r="M9" s="114"/>
      <c r="N9" s="114"/>
      <c r="O9" s="114"/>
      <c r="P9" s="114"/>
    </row>
    <row r="10" spans="1:16" ht="15" customHeight="1">
      <c r="A10" s="134"/>
      <c r="B10" s="135"/>
      <c r="C10" s="135"/>
      <c r="D10" s="135"/>
      <c r="E10" s="135"/>
      <c r="F10" s="135"/>
      <c r="G10" s="341" t="s">
        <v>85</v>
      </c>
      <c r="I10" s="306" t="s">
        <v>170</v>
      </c>
      <c r="J10" s="321"/>
      <c r="K10" s="321"/>
      <c r="L10" s="321"/>
      <c r="M10" s="321"/>
      <c r="N10" s="321"/>
      <c r="O10" s="321"/>
      <c r="P10" s="322"/>
    </row>
    <row r="11" spans="1:16" ht="17.25">
      <c r="A11" s="136" t="s">
        <v>179</v>
      </c>
      <c r="B11" s="137" t="s">
        <v>87</v>
      </c>
      <c r="C11" s="137" t="s">
        <v>82</v>
      </c>
      <c r="D11" s="137" t="s">
        <v>81</v>
      </c>
      <c r="E11" s="137" t="s">
        <v>79</v>
      </c>
      <c r="F11" s="137" t="s">
        <v>80</v>
      </c>
      <c r="G11" s="341"/>
      <c r="I11" s="326"/>
      <c r="J11" s="327"/>
      <c r="K11" s="327"/>
      <c r="L11" s="327"/>
      <c r="M11" s="327"/>
      <c r="N11" s="327"/>
      <c r="O11" s="327"/>
      <c r="P11" s="328"/>
    </row>
    <row r="12" spans="1:16">
      <c r="A12" s="126">
        <v>1</v>
      </c>
      <c r="B12" s="127">
        <v>32</v>
      </c>
      <c r="C12" s="127">
        <v>29</v>
      </c>
      <c r="D12" s="127">
        <v>19</v>
      </c>
      <c r="E12" s="127">
        <v>26</v>
      </c>
      <c r="F12" s="128">
        <f>SUM(B12:E12)</f>
        <v>106</v>
      </c>
      <c r="G12" s="129">
        <f>F12-E12</f>
        <v>80</v>
      </c>
      <c r="I12" s="306" t="s">
        <v>283</v>
      </c>
      <c r="J12" s="321"/>
      <c r="K12" s="321"/>
      <c r="L12" s="321"/>
      <c r="M12" s="321"/>
      <c r="N12" s="321"/>
      <c r="O12" s="321"/>
      <c r="P12" s="322"/>
    </row>
    <row r="13" spans="1:16">
      <c r="A13" s="126">
        <v>2</v>
      </c>
      <c r="B13" s="127">
        <v>28</v>
      </c>
      <c r="C13" s="127">
        <v>22</v>
      </c>
      <c r="D13" s="127">
        <v>20</v>
      </c>
      <c r="E13" s="127">
        <v>36</v>
      </c>
      <c r="F13" s="128">
        <f t="shared" ref="F13:F19" si="0">SUM(B13:E13)</f>
        <v>106</v>
      </c>
      <c r="G13" s="129">
        <f t="shared" ref="G13:G20" si="1">F13-E13</f>
        <v>70</v>
      </c>
      <c r="I13" s="323"/>
      <c r="J13" s="324"/>
      <c r="K13" s="324"/>
      <c r="L13" s="324"/>
      <c r="M13" s="324"/>
      <c r="N13" s="324"/>
      <c r="O13" s="324"/>
      <c r="P13" s="325"/>
    </row>
    <row r="14" spans="1:16" ht="15" customHeight="1">
      <c r="A14" s="126">
        <v>3</v>
      </c>
      <c r="B14" s="127">
        <v>27</v>
      </c>
      <c r="C14" s="127">
        <v>21</v>
      </c>
      <c r="D14" s="127">
        <v>20</v>
      </c>
      <c r="E14" s="127">
        <v>43</v>
      </c>
      <c r="F14" s="128">
        <f t="shared" si="0"/>
        <v>111</v>
      </c>
      <c r="G14" s="129">
        <f t="shared" si="1"/>
        <v>68</v>
      </c>
      <c r="I14" s="323"/>
      <c r="J14" s="324"/>
      <c r="K14" s="324"/>
      <c r="L14" s="324"/>
      <c r="M14" s="324"/>
      <c r="N14" s="324"/>
      <c r="O14" s="324"/>
      <c r="P14" s="325"/>
    </row>
    <row r="15" spans="1:16">
      <c r="A15" s="126">
        <v>4</v>
      </c>
      <c r="B15" s="127">
        <v>27</v>
      </c>
      <c r="C15" s="127">
        <v>22</v>
      </c>
      <c r="D15" s="127">
        <v>20</v>
      </c>
      <c r="E15" s="127">
        <v>43</v>
      </c>
      <c r="F15" s="128">
        <f t="shared" si="0"/>
        <v>112</v>
      </c>
      <c r="G15" s="129">
        <f t="shared" si="1"/>
        <v>69</v>
      </c>
      <c r="I15" s="326"/>
      <c r="J15" s="327"/>
      <c r="K15" s="327"/>
      <c r="L15" s="327"/>
      <c r="M15" s="327"/>
      <c r="N15" s="327"/>
      <c r="O15" s="327"/>
      <c r="P15" s="328"/>
    </row>
    <row r="16" spans="1:16">
      <c r="A16" s="126">
        <v>5</v>
      </c>
      <c r="B16" s="127">
        <v>31</v>
      </c>
      <c r="C16" s="127">
        <v>18</v>
      </c>
      <c r="D16" s="127">
        <v>20</v>
      </c>
      <c r="E16" s="127">
        <v>46</v>
      </c>
      <c r="F16" s="128">
        <f t="shared" si="0"/>
        <v>115</v>
      </c>
      <c r="G16" s="129">
        <f t="shared" si="1"/>
        <v>69</v>
      </c>
      <c r="I16" s="306" t="s">
        <v>169</v>
      </c>
      <c r="J16" s="321"/>
      <c r="K16" s="321"/>
      <c r="L16" s="321"/>
      <c r="M16" s="321"/>
      <c r="N16" s="321"/>
      <c r="O16" s="321"/>
      <c r="P16" s="322"/>
    </row>
    <row r="17" spans="1:16">
      <c r="A17" s="126">
        <v>6</v>
      </c>
      <c r="B17" s="127">
        <v>30</v>
      </c>
      <c r="C17" s="127">
        <v>18</v>
      </c>
      <c r="D17" s="127">
        <v>20</v>
      </c>
      <c r="E17" s="127">
        <v>41</v>
      </c>
      <c r="F17" s="128">
        <f t="shared" si="0"/>
        <v>109</v>
      </c>
      <c r="G17" s="129">
        <f t="shared" si="1"/>
        <v>68</v>
      </c>
      <c r="I17" s="323"/>
      <c r="J17" s="324"/>
      <c r="K17" s="324"/>
      <c r="L17" s="324"/>
      <c r="M17" s="324"/>
      <c r="N17" s="324"/>
      <c r="O17" s="324"/>
      <c r="P17" s="325"/>
    </row>
    <row r="18" spans="1:16">
      <c r="A18" s="126">
        <v>7</v>
      </c>
      <c r="B18" s="127">
        <v>27</v>
      </c>
      <c r="C18" s="127">
        <v>19</v>
      </c>
      <c r="D18" s="127">
        <v>24</v>
      </c>
      <c r="E18" s="127">
        <v>35</v>
      </c>
      <c r="F18" s="128">
        <f t="shared" si="0"/>
        <v>105</v>
      </c>
      <c r="G18" s="129">
        <f t="shared" si="1"/>
        <v>70</v>
      </c>
      <c r="I18" s="323"/>
      <c r="J18" s="324"/>
      <c r="K18" s="324"/>
      <c r="L18" s="324"/>
      <c r="M18" s="324"/>
      <c r="N18" s="324"/>
      <c r="O18" s="324"/>
      <c r="P18" s="325"/>
    </row>
    <row r="19" spans="1:16">
      <c r="A19" s="126">
        <v>8</v>
      </c>
      <c r="B19" s="127">
        <v>27</v>
      </c>
      <c r="C19" s="127">
        <v>19</v>
      </c>
      <c r="D19" s="127">
        <v>24</v>
      </c>
      <c r="E19" s="127">
        <v>35</v>
      </c>
      <c r="F19" s="128">
        <f t="shared" si="0"/>
        <v>105</v>
      </c>
      <c r="G19" s="129">
        <f t="shared" si="1"/>
        <v>70</v>
      </c>
      <c r="I19" s="326"/>
      <c r="J19" s="327"/>
      <c r="K19" s="327"/>
      <c r="L19" s="327"/>
      <c r="M19" s="327"/>
      <c r="N19" s="327"/>
      <c r="O19" s="327"/>
      <c r="P19" s="328"/>
    </row>
    <row r="20" spans="1:16">
      <c r="A20" s="130" t="s">
        <v>83</v>
      </c>
      <c r="B20" s="131">
        <f>SUM(B12:B19)/$A$19</f>
        <v>28.625</v>
      </c>
      <c r="C20" s="131">
        <f t="shared" ref="C20:F20" si="2">SUM(C12:C19)/$A$19</f>
        <v>21</v>
      </c>
      <c r="D20" s="131">
        <f t="shared" si="2"/>
        <v>20.875</v>
      </c>
      <c r="E20" s="131">
        <f t="shared" si="2"/>
        <v>38.125</v>
      </c>
      <c r="F20" s="131">
        <f t="shared" si="2"/>
        <v>108.625</v>
      </c>
      <c r="G20" s="132">
        <f t="shared" si="1"/>
        <v>70.5</v>
      </c>
      <c r="I20" s="306" t="s">
        <v>167</v>
      </c>
      <c r="J20" s="321"/>
      <c r="K20" s="321"/>
      <c r="L20" s="321"/>
      <c r="M20" s="321"/>
      <c r="N20" s="321"/>
      <c r="O20" s="321"/>
      <c r="P20" s="322"/>
    </row>
    <row r="21" spans="1:16">
      <c r="A21" s="133"/>
      <c r="B21" s="133"/>
      <c r="C21" s="133"/>
      <c r="D21" s="133"/>
      <c r="E21" s="133"/>
      <c r="F21" s="133"/>
      <c r="G21" s="133"/>
      <c r="I21" s="326"/>
      <c r="J21" s="327"/>
      <c r="K21" s="327"/>
      <c r="L21" s="327"/>
      <c r="M21" s="327"/>
      <c r="N21" s="327"/>
      <c r="O21" s="327"/>
      <c r="P21" s="328"/>
    </row>
    <row r="22" spans="1:16">
      <c r="A22" s="214" t="s">
        <v>168</v>
      </c>
      <c r="B22" s="215"/>
      <c r="C22" s="215"/>
      <c r="D22" s="215"/>
      <c r="E22" s="215"/>
      <c r="F22" s="216"/>
      <c r="G22" s="133"/>
      <c r="I22" s="274" t="s">
        <v>288</v>
      </c>
      <c r="J22" s="275"/>
      <c r="K22" s="275"/>
      <c r="L22" s="275"/>
      <c r="M22" s="275"/>
      <c r="N22" s="275"/>
      <c r="O22" s="275"/>
      <c r="P22" s="276"/>
    </row>
    <row r="23" spans="1:16">
      <c r="A23" s="220"/>
      <c r="B23" s="221"/>
      <c r="C23" s="221"/>
      <c r="D23" s="221"/>
      <c r="E23" s="221"/>
      <c r="F23" s="222"/>
      <c r="G23" s="133"/>
      <c r="I23" s="286"/>
      <c r="J23" s="287"/>
      <c r="K23" s="287"/>
      <c r="L23" s="287"/>
      <c r="M23" s="287"/>
      <c r="N23" s="287"/>
      <c r="O23" s="287"/>
      <c r="P23" s="288"/>
    </row>
    <row r="24" spans="1:16">
      <c r="A24" s="133"/>
      <c r="B24" s="133"/>
      <c r="C24" s="133"/>
      <c r="D24" s="133"/>
      <c r="E24" s="133"/>
      <c r="F24" s="133"/>
      <c r="G24" s="133"/>
      <c r="I24" s="265"/>
      <c r="J24" s="266"/>
      <c r="K24" s="266"/>
      <c r="L24" s="266"/>
      <c r="M24" s="266"/>
      <c r="N24" s="266"/>
      <c r="O24" s="266"/>
      <c r="P24" s="267"/>
    </row>
    <row r="25" spans="1:16" ht="15" customHeight="1">
      <c r="A25" s="342" t="s">
        <v>84</v>
      </c>
      <c r="B25" s="343"/>
      <c r="C25" s="343"/>
      <c r="D25" s="343"/>
      <c r="E25" s="343"/>
      <c r="F25" s="343"/>
      <c r="G25" s="344"/>
      <c r="I25" s="306" t="s">
        <v>278</v>
      </c>
      <c r="J25" s="321"/>
      <c r="K25" s="321"/>
      <c r="L25" s="321"/>
      <c r="M25" s="321"/>
      <c r="N25" s="321"/>
      <c r="O25" s="321"/>
      <c r="P25" s="322"/>
    </row>
    <row r="26" spans="1:16">
      <c r="A26" s="134"/>
      <c r="B26" s="135"/>
      <c r="C26" s="135"/>
      <c r="D26" s="135"/>
      <c r="E26" s="135"/>
      <c r="F26" s="135"/>
      <c r="G26" s="341" t="s">
        <v>85</v>
      </c>
      <c r="I26" s="323"/>
      <c r="J26" s="324"/>
      <c r="K26" s="324"/>
      <c r="L26" s="324"/>
      <c r="M26" s="324"/>
      <c r="N26" s="324"/>
      <c r="O26" s="324"/>
      <c r="P26" s="325"/>
    </row>
    <row r="27" spans="1:16" ht="15" customHeight="1">
      <c r="A27" s="136" t="s">
        <v>179</v>
      </c>
      <c r="B27" s="137" t="s">
        <v>87</v>
      </c>
      <c r="C27" s="137" t="s">
        <v>82</v>
      </c>
      <c r="D27" s="137" t="s">
        <v>81</v>
      </c>
      <c r="E27" s="137" t="s">
        <v>79</v>
      </c>
      <c r="F27" s="137" t="s">
        <v>80</v>
      </c>
      <c r="G27" s="341"/>
      <c r="I27" s="323"/>
      <c r="J27" s="324"/>
      <c r="K27" s="324"/>
      <c r="L27" s="324"/>
      <c r="M27" s="324"/>
      <c r="N27" s="324"/>
      <c r="O27" s="324"/>
      <c r="P27" s="325"/>
    </row>
    <row r="28" spans="1:16">
      <c r="A28" s="126">
        <v>1</v>
      </c>
      <c r="B28" s="138">
        <f>10*3+10*5+12*4</f>
        <v>128</v>
      </c>
      <c r="C28" s="138">
        <f>10*2+7*5+12*4</f>
        <v>103</v>
      </c>
      <c r="D28" s="138">
        <f>10*2+7*5+2*4</f>
        <v>63</v>
      </c>
      <c r="E28" s="138">
        <f>10*1+7*5+2*4+7*3</f>
        <v>74</v>
      </c>
      <c r="F28" s="139">
        <f>SUM(B28:E28)</f>
        <v>368</v>
      </c>
      <c r="G28" s="129">
        <f>F28-E28</f>
        <v>294</v>
      </c>
      <c r="I28" s="326"/>
      <c r="J28" s="327"/>
      <c r="K28" s="327"/>
      <c r="L28" s="327"/>
      <c r="M28" s="327"/>
      <c r="N28" s="327"/>
      <c r="O28" s="327"/>
      <c r="P28" s="328"/>
    </row>
    <row r="29" spans="1:16" ht="15" customHeight="1">
      <c r="A29" s="126">
        <v>2</v>
      </c>
      <c r="B29" s="138">
        <f>10*3+10*5+8*4</f>
        <v>112</v>
      </c>
      <c r="C29" s="138">
        <f>10*2+0*5+12*4</f>
        <v>68</v>
      </c>
      <c r="D29" s="138">
        <f>10*2+7*5+3*4</f>
        <v>67</v>
      </c>
      <c r="E29" s="138">
        <f>15*1+7*5+7*4+7*3</f>
        <v>99</v>
      </c>
      <c r="F29" s="139">
        <f t="shared" ref="F29:F35" si="3">SUM(B29:E29)</f>
        <v>346</v>
      </c>
      <c r="G29" s="129">
        <f t="shared" ref="G29:G36" si="4">F29-E29</f>
        <v>247</v>
      </c>
      <c r="I29" s="306" t="s">
        <v>171</v>
      </c>
      <c r="J29" s="321"/>
      <c r="K29" s="321"/>
      <c r="L29" s="321"/>
      <c r="M29" s="321"/>
      <c r="N29" s="321"/>
      <c r="O29" s="321"/>
      <c r="P29" s="322"/>
    </row>
    <row r="30" spans="1:16">
      <c r="A30" s="126">
        <v>3</v>
      </c>
      <c r="B30" s="138">
        <f>10*3+9*5+8*4</f>
        <v>107</v>
      </c>
      <c r="C30" s="138">
        <f>7*2+7*5+7*4</f>
        <v>77</v>
      </c>
      <c r="D30" s="138">
        <f t="shared" ref="D30:D33" si="5">10*2+7*5+3*4</f>
        <v>67</v>
      </c>
      <c r="E30" s="138">
        <f>15*1+7*5+7*4+14*3</f>
        <v>120</v>
      </c>
      <c r="F30" s="139">
        <f t="shared" si="3"/>
        <v>371</v>
      </c>
      <c r="G30" s="129">
        <f t="shared" si="4"/>
        <v>251</v>
      </c>
      <c r="I30" s="323"/>
      <c r="J30" s="324"/>
      <c r="K30" s="324"/>
      <c r="L30" s="324"/>
      <c r="M30" s="324"/>
      <c r="N30" s="324"/>
      <c r="O30" s="324"/>
      <c r="P30" s="325"/>
    </row>
    <row r="31" spans="1:16">
      <c r="A31" s="126">
        <v>4</v>
      </c>
      <c r="B31" s="138">
        <f>10*3+9*5+8*4</f>
        <v>107</v>
      </c>
      <c r="C31" s="138">
        <f>7*2+8*5+7*4</f>
        <v>82</v>
      </c>
      <c r="D31" s="138">
        <f t="shared" si="5"/>
        <v>67</v>
      </c>
      <c r="E31" s="138">
        <f>15*1+7*5+7*4+14*3</f>
        <v>120</v>
      </c>
      <c r="F31" s="139">
        <f t="shared" si="3"/>
        <v>376</v>
      </c>
      <c r="G31" s="129">
        <f t="shared" si="4"/>
        <v>256</v>
      </c>
      <c r="I31" s="323"/>
      <c r="J31" s="324"/>
      <c r="K31" s="324"/>
      <c r="L31" s="324"/>
      <c r="M31" s="324"/>
      <c r="N31" s="324"/>
      <c r="O31" s="324"/>
      <c r="P31" s="325"/>
    </row>
    <row r="32" spans="1:16">
      <c r="A32" s="126">
        <v>5</v>
      </c>
      <c r="B32" s="138">
        <f>10*3+10*5+11*4</f>
        <v>124</v>
      </c>
      <c r="C32" s="138">
        <f>10*2+6*5+12*4</f>
        <v>98</v>
      </c>
      <c r="D32" s="138">
        <f t="shared" si="5"/>
        <v>67</v>
      </c>
      <c r="E32" s="138">
        <f>18*1+7*5+7*4+14*3</f>
        <v>123</v>
      </c>
      <c r="F32" s="139">
        <f t="shared" si="3"/>
        <v>412</v>
      </c>
      <c r="G32" s="129">
        <f t="shared" si="4"/>
        <v>289</v>
      </c>
      <c r="I32" s="323"/>
      <c r="J32" s="324"/>
      <c r="K32" s="324"/>
      <c r="L32" s="324"/>
      <c r="M32" s="324"/>
      <c r="N32" s="324"/>
      <c r="O32" s="324"/>
      <c r="P32" s="325"/>
    </row>
    <row r="33" spans="1:16">
      <c r="A33" s="126">
        <v>6</v>
      </c>
      <c r="B33" s="138">
        <f>10*3+8*5+12*4</f>
        <v>118</v>
      </c>
      <c r="C33" s="138">
        <f>10*2+6*5+12*4</f>
        <v>98</v>
      </c>
      <c r="D33" s="138">
        <f t="shared" si="5"/>
        <v>67</v>
      </c>
      <c r="E33" s="138">
        <f>18*1+2*5+7*4+14*3</f>
        <v>98</v>
      </c>
      <c r="F33" s="139">
        <f t="shared" si="3"/>
        <v>381</v>
      </c>
      <c r="G33" s="129">
        <f t="shared" si="4"/>
        <v>283</v>
      </c>
      <c r="I33" s="323"/>
      <c r="J33" s="324"/>
      <c r="K33" s="324"/>
      <c r="L33" s="324"/>
      <c r="M33" s="324"/>
      <c r="N33" s="324"/>
      <c r="O33" s="324"/>
      <c r="P33" s="325"/>
    </row>
    <row r="34" spans="1:16">
      <c r="A34" s="126">
        <v>7</v>
      </c>
      <c r="B34" s="138">
        <f>5*3+10*5+12*4</f>
        <v>113</v>
      </c>
      <c r="C34" s="138">
        <f>10*2+8*5+12*4</f>
        <v>108</v>
      </c>
      <c r="D34" s="138">
        <f>14*2+7*5+3*4</f>
        <v>75</v>
      </c>
      <c r="E34" s="138">
        <f>18*1+2*5+0*4+15*3</f>
        <v>73</v>
      </c>
      <c r="F34" s="139">
        <f t="shared" si="3"/>
        <v>369</v>
      </c>
      <c r="G34" s="129">
        <f t="shared" si="4"/>
        <v>296</v>
      </c>
      <c r="I34" s="323"/>
      <c r="J34" s="324"/>
      <c r="K34" s="324"/>
      <c r="L34" s="324"/>
      <c r="M34" s="324"/>
      <c r="N34" s="324"/>
      <c r="O34" s="324"/>
      <c r="P34" s="325"/>
    </row>
    <row r="35" spans="1:16">
      <c r="A35" s="126">
        <v>8</v>
      </c>
      <c r="B35" s="138">
        <f>5*3+10*5+12*4</f>
        <v>113</v>
      </c>
      <c r="C35" s="138">
        <f>10*2+8*5+12*4</f>
        <v>108</v>
      </c>
      <c r="D35" s="138">
        <f>14*2+7*5+3*4</f>
        <v>75</v>
      </c>
      <c r="E35" s="138">
        <f>18*1+2*5+0*4+15*3</f>
        <v>73</v>
      </c>
      <c r="F35" s="139">
        <f t="shared" si="3"/>
        <v>369</v>
      </c>
      <c r="G35" s="129">
        <f t="shared" si="4"/>
        <v>296</v>
      </c>
      <c r="I35" s="326"/>
      <c r="J35" s="327"/>
      <c r="K35" s="327"/>
      <c r="L35" s="327"/>
      <c r="M35" s="327"/>
      <c r="N35" s="327"/>
      <c r="O35" s="327"/>
      <c r="P35" s="328"/>
    </row>
    <row r="36" spans="1:16">
      <c r="A36" s="134" t="s">
        <v>83</v>
      </c>
      <c r="B36" s="139">
        <f>SUM(B28:B35)/$A$19</f>
        <v>115.25</v>
      </c>
      <c r="C36" s="139">
        <f>SUM(C28:C35)/$A$19</f>
        <v>92.75</v>
      </c>
      <c r="D36" s="139">
        <f t="shared" ref="D36" si="6">SUM(D28:D35)/$A$19</f>
        <v>68.5</v>
      </c>
      <c r="E36" s="139">
        <f t="shared" ref="E36" si="7">SUM(E28:E35)/$A$19</f>
        <v>97.5</v>
      </c>
      <c r="F36" s="139">
        <f t="shared" ref="F36" si="8">SUM(F28:F35)/$A$19</f>
        <v>374</v>
      </c>
      <c r="G36" s="129">
        <f t="shared" si="4"/>
        <v>276.5</v>
      </c>
    </row>
    <row r="37" spans="1:16">
      <c r="A37" s="2" t="s">
        <v>86</v>
      </c>
      <c r="B37" s="145">
        <f>B36/$G$36</f>
        <v>0.41681735985533452</v>
      </c>
      <c r="C37" s="145">
        <f>C36/$G$36</f>
        <v>0.33544303797468356</v>
      </c>
      <c r="D37" s="145">
        <f t="shared" ref="D37" si="9">D36/$G$36</f>
        <v>0.24773960216998192</v>
      </c>
      <c r="E37" s="48"/>
      <c r="F37" s="48"/>
      <c r="G37" s="113">
        <f t="shared" ref="G37" si="10">G36/$G$36</f>
        <v>1</v>
      </c>
    </row>
    <row r="38" spans="1:16" ht="18">
      <c r="A38" s="3" t="s">
        <v>24</v>
      </c>
      <c r="B38" s="49" t="s">
        <v>89</v>
      </c>
      <c r="C38" s="49" t="s">
        <v>59</v>
      </c>
      <c r="D38" s="49" t="s">
        <v>88</v>
      </c>
      <c r="E38" s="49"/>
      <c r="F38" s="49"/>
      <c r="G38" s="50"/>
    </row>
  </sheetData>
  <sheetProtection password="C907" sheet="1" objects="1" scenarios="1"/>
  <mergeCells count="14">
    <mergeCell ref="A3:M6"/>
    <mergeCell ref="A22:F23"/>
    <mergeCell ref="G26:G27"/>
    <mergeCell ref="G10:G11"/>
    <mergeCell ref="A9:G9"/>
    <mergeCell ref="A25:G25"/>
    <mergeCell ref="I22:P24"/>
    <mergeCell ref="I10:P11"/>
    <mergeCell ref="I25:P28"/>
    <mergeCell ref="I29:P35"/>
    <mergeCell ref="I8:P8"/>
    <mergeCell ref="I20:P21"/>
    <mergeCell ref="I12:P15"/>
    <mergeCell ref="I16:P19"/>
  </mergeCells>
  <pageMargins left="0.70866141732283472" right="0.70866141732283472" top="0.74803149606299213" bottom="0.74803149606299213" header="0.31496062992125984" footer="0.31496062992125984"/>
  <pageSetup paperSize="9" scale="88" orientation="landscape" r:id="rId1"/>
  <ignoredErrors>
    <ignoredError sqref="F14:F19 F12:F13 F28:F35" formulaRange="1" unlockedFormula="1"/>
    <ignoredError sqref="F20:G20 G12:G13 G14:G19 B20:E20 F36:G36 B36:C36 G28 G29:G35 D36:E36 B28:E35" unlocked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K68"/>
  <sheetViews>
    <sheetView workbookViewId="0">
      <selection activeCell="D14" sqref="D14"/>
    </sheetView>
  </sheetViews>
  <sheetFormatPr defaultRowHeight="15"/>
  <cols>
    <col min="1" max="1" width="46.140625" customWidth="1"/>
    <col min="2" max="2" width="12" style="8" customWidth="1"/>
    <col min="3" max="3" width="17.42578125" bestFit="1" customWidth="1"/>
    <col min="4" max="4" width="16" customWidth="1"/>
    <col min="5" max="5" width="18" customWidth="1"/>
    <col min="6" max="6" width="21" customWidth="1"/>
    <col min="7" max="7" width="22" customWidth="1"/>
    <col min="8" max="8" width="19" customWidth="1"/>
    <col min="9" max="9" width="21.5703125" customWidth="1"/>
  </cols>
  <sheetData>
    <row r="1" spans="1:11">
      <c r="A1" s="38" t="s">
        <v>229</v>
      </c>
      <c r="E1" s="37" t="s">
        <v>279</v>
      </c>
    </row>
    <row r="2" spans="1:11">
      <c r="A2" s="38"/>
      <c r="B2" s="140"/>
      <c r="E2" s="37"/>
    </row>
    <row r="3" spans="1:11">
      <c r="A3" s="292" t="s">
        <v>267</v>
      </c>
      <c r="B3" s="293"/>
      <c r="C3" s="293"/>
      <c r="D3" s="293"/>
      <c r="E3" s="293"/>
      <c r="F3" s="294"/>
    </row>
    <row r="4" spans="1:11">
      <c r="A4" s="295"/>
      <c r="B4" s="296"/>
      <c r="C4" s="296"/>
      <c r="D4" s="296"/>
      <c r="E4" s="296"/>
      <c r="F4" s="297"/>
    </row>
    <row r="5" spans="1:11">
      <c r="A5" s="298"/>
      <c r="B5" s="299"/>
      <c r="C5" s="299"/>
      <c r="D5" s="299"/>
      <c r="E5" s="299"/>
      <c r="F5" s="300"/>
    </row>
    <row r="7" spans="1:11">
      <c r="A7" s="9" t="s">
        <v>35</v>
      </c>
      <c r="B7" s="9" t="s">
        <v>24</v>
      </c>
      <c r="E7" s="289" t="s">
        <v>22</v>
      </c>
      <c r="F7" s="290"/>
      <c r="G7" s="290"/>
      <c r="H7" s="291"/>
      <c r="I7" s="18"/>
      <c r="J7" s="18"/>
      <c r="K7" s="18"/>
    </row>
    <row r="8" spans="1:11" ht="29.25" customHeight="1">
      <c r="A8" t="s">
        <v>51</v>
      </c>
      <c r="B8" s="74" t="s">
        <v>148</v>
      </c>
      <c r="C8" s="52">
        <f>'Input Information'!G57</f>
        <v>65250000</v>
      </c>
      <c r="E8" s="268" t="str">
        <f>"As derived in the input information worksheet. This represents the  value of the decommissioning costs (including final waste disposal) in year 40 in "&amp;B27&amp;" currency."</f>
        <v>As derived in the input information worksheet. This represents the  value of the decommissioning costs (including final waste disposal) in year 40 in 2012 currency.</v>
      </c>
      <c r="F8" s="345"/>
      <c r="G8" s="345"/>
      <c r="H8" s="346"/>
      <c r="I8" s="32"/>
      <c r="J8" s="32"/>
      <c r="K8" s="32"/>
    </row>
    <row r="9" spans="1:11" ht="30.75" customHeight="1">
      <c r="A9" s="13" t="s">
        <v>36</v>
      </c>
      <c r="B9" s="11"/>
      <c r="C9" s="53">
        <f>'Input Information'!G17</f>
        <v>40</v>
      </c>
      <c r="D9" s="13" t="s">
        <v>37</v>
      </c>
      <c r="E9" s="265" t="s">
        <v>232</v>
      </c>
      <c r="F9" s="266"/>
      <c r="G9" s="266"/>
      <c r="H9" s="267"/>
    </row>
    <row r="10" spans="1:11">
      <c r="A10" s="43" t="s">
        <v>122</v>
      </c>
      <c r="B10" s="41" t="s">
        <v>118</v>
      </c>
      <c r="C10" s="53">
        <f>'Input Information'!G34</f>
        <v>1</v>
      </c>
    </row>
    <row r="11" spans="1:11">
      <c r="A11" s="43" t="s">
        <v>121</v>
      </c>
      <c r="B11" s="41" t="s">
        <v>119</v>
      </c>
      <c r="C11" s="54">
        <f>'Input Information'!F80</f>
        <v>0.05</v>
      </c>
    </row>
    <row r="12" spans="1:11">
      <c r="A12" s="43" t="s">
        <v>40</v>
      </c>
      <c r="B12" s="41" t="s">
        <v>120</v>
      </c>
      <c r="C12" s="54">
        <f>'Input Information'!F81</f>
        <v>0.02</v>
      </c>
    </row>
    <row r="13" spans="1:11">
      <c r="A13" t="s">
        <v>39</v>
      </c>
      <c r="B13" s="11" t="s">
        <v>151</v>
      </c>
      <c r="C13" s="57">
        <f>'Input Information'!F82</f>
        <v>2.941176470588247E-2</v>
      </c>
    </row>
    <row r="14" spans="1:11" ht="30" customHeight="1">
      <c r="A14" s="40" t="s">
        <v>153</v>
      </c>
      <c r="B14" s="11" t="s">
        <v>44</v>
      </c>
      <c r="C14" s="63">
        <f>C8/(1+C13)^C9</f>
        <v>20465173.161817092</v>
      </c>
      <c r="D14" s="43"/>
      <c r="E14" s="271" t="s">
        <v>152</v>
      </c>
      <c r="F14" s="272"/>
      <c r="G14" s="272"/>
      <c r="H14" s="273"/>
    </row>
    <row r="15" spans="1:11">
      <c r="B15" s="11"/>
      <c r="E15" s="13"/>
      <c r="F15" s="13"/>
      <c r="G15" s="13"/>
      <c r="H15" s="13"/>
      <c r="I15" s="13"/>
      <c r="J15" s="13"/>
      <c r="K15" s="13"/>
    </row>
    <row r="16" spans="1:11">
      <c r="A16" s="10" t="s">
        <v>23</v>
      </c>
      <c r="B16" s="11"/>
      <c r="E16" s="13"/>
      <c r="F16" s="13"/>
      <c r="G16" s="13"/>
      <c r="H16" s="13"/>
      <c r="I16" s="13"/>
      <c r="J16" s="13"/>
      <c r="K16" s="13"/>
    </row>
    <row r="17" spans="1:11">
      <c r="A17" s="10"/>
      <c r="B17" s="11"/>
      <c r="E17" s="13"/>
      <c r="F17" s="13"/>
      <c r="G17" s="13"/>
      <c r="H17" s="13"/>
      <c r="I17" s="13"/>
      <c r="J17" s="13"/>
      <c r="K17" s="13"/>
    </row>
    <row r="18" spans="1:11" ht="53.25" customHeight="1">
      <c r="A18" s="28" t="s">
        <v>27</v>
      </c>
      <c r="B18" s="12" t="s">
        <v>45</v>
      </c>
      <c r="C18" s="115">
        <v>0.5</v>
      </c>
      <c r="D18" s="4"/>
      <c r="E18" s="271" t="s">
        <v>291</v>
      </c>
      <c r="F18" s="272"/>
      <c r="G18" s="272"/>
      <c r="H18" s="273"/>
      <c r="I18" s="13"/>
      <c r="J18" s="13"/>
      <c r="K18" s="13"/>
    </row>
    <row r="19" spans="1:11" ht="33.75">
      <c r="A19" s="28" t="s">
        <v>61</v>
      </c>
      <c r="B19" s="12" t="s">
        <v>29</v>
      </c>
      <c r="C19" s="116">
        <v>1000000</v>
      </c>
      <c r="D19" s="4"/>
      <c r="E19" s="262" t="s">
        <v>145</v>
      </c>
      <c r="F19" s="263"/>
      <c r="G19" s="263"/>
      <c r="H19" s="264"/>
      <c r="I19" s="13"/>
      <c r="J19" s="13"/>
      <c r="K19" s="13"/>
    </row>
    <row r="20" spans="1:11" ht="62.25" customHeight="1">
      <c r="A20" s="29" t="s">
        <v>238</v>
      </c>
      <c r="B20" s="12" t="s">
        <v>46</v>
      </c>
      <c r="C20" s="54">
        <f>'A-Capital'!C29</f>
        <v>0.5</v>
      </c>
      <c r="E20" s="262" t="s">
        <v>31</v>
      </c>
      <c r="F20" s="263"/>
      <c r="G20" s="263"/>
      <c r="H20" s="264"/>
      <c r="I20" s="17"/>
      <c r="J20" s="17"/>
      <c r="K20" s="17"/>
    </row>
    <row r="21" spans="1:11" ht="48" customHeight="1">
      <c r="A21" s="29" t="s">
        <v>280</v>
      </c>
      <c r="B21" s="33" t="s">
        <v>47</v>
      </c>
      <c r="C21" s="56">
        <f>$C$11/(1-(1/((1+$C$11)^($C$9-1))))</f>
        <v>5.8764624195990892E-2</v>
      </c>
      <c r="E21" s="262" t="s">
        <v>146</v>
      </c>
      <c r="F21" s="263"/>
      <c r="G21" s="263"/>
      <c r="H21" s="264"/>
      <c r="I21" s="17"/>
      <c r="J21" s="17"/>
      <c r="K21" s="17"/>
    </row>
    <row r="22" spans="1:11" ht="15.75" thickBot="1">
      <c r="A22" s="4"/>
      <c r="B22" s="11"/>
    </row>
    <row r="23" spans="1:11" ht="15" customHeight="1">
      <c r="B23" s="301" t="s">
        <v>156</v>
      </c>
      <c r="C23" s="302"/>
      <c r="D23" s="302"/>
      <c r="E23" s="302"/>
      <c r="F23" s="302"/>
      <c r="G23" s="303"/>
      <c r="H23" s="39"/>
      <c r="I23" s="24"/>
    </row>
    <row r="24" spans="1:11">
      <c r="B24" s="98" t="s">
        <v>68</v>
      </c>
      <c r="C24" s="99" t="s">
        <v>0</v>
      </c>
      <c r="D24" s="99" t="s">
        <v>66</v>
      </c>
      <c r="E24" s="99" t="str">
        <f>"Costs ("&amp;B27&amp;" €)"</f>
        <v>Costs (2012 €)</v>
      </c>
      <c r="F24" s="99" t="s">
        <v>67</v>
      </c>
      <c r="G24" s="100" t="s">
        <v>43</v>
      </c>
      <c r="H24" s="7"/>
      <c r="I24" s="7"/>
    </row>
    <row r="25" spans="1:11">
      <c r="B25" s="78" t="s">
        <v>3</v>
      </c>
      <c r="C25" s="79"/>
      <c r="D25" s="81"/>
      <c r="E25" s="81"/>
      <c r="F25" s="81">
        <f>SUM(F28:F67)</f>
        <v>5159000.3266136032</v>
      </c>
      <c r="G25" s="82"/>
      <c r="H25" s="22"/>
      <c r="I25" s="22"/>
    </row>
    <row r="26" spans="1:11">
      <c r="B26" s="83"/>
      <c r="C26" s="84"/>
      <c r="D26" s="84"/>
      <c r="E26" s="84"/>
      <c r="F26" s="84"/>
      <c r="G26" s="85"/>
      <c r="H26" s="21"/>
      <c r="I26" s="22"/>
    </row>
    <row r="27" spans="1:11">
      <c r="B27" s="86">
        <f>'Input Information'!G18</f>
        <v>2012</v>
      </c>
      <c r="C27" s="87">
        <v>0</v>
      </c>
      <c r="D27" s="88"/>
      <c r="E27" s="88"/>
      <c r="F27" s="88"/>
      <c r="G27" s="89"/>
      <c r="H27" s="21"/>
      <c r="I27" s="1"/>
    </row>
    <row r="28" spans="1:11">
      <c r="B28" s="86">
        <f t="shared" ref="B28:C43" si="0">B27+1</f>
        <v>2013</v>
      </c>
      <c r="C28" s="87">
        <f t="shared" si="0"/>
        <v>1</v>
      </c>
      <c r="D28" s="90">
        <f>$C$14*(1-$C$18)*$C$20*$C$21</f>
        <v>300657.05249001505</v>
      </c>
      <c r="E28" s="88">
        <f>D28/((1+$C$12)^(C28))</f>
        <v>294761.81616668141</v>
      </c>
      <c r="F28" s="88">
        <f>E28/((1+$C$13)^(C28))</f>
        <v>286340.04999049049</v>
      </c>
      <c r="G28" s="89"/>
      <c r="H28" s="1"/>
      <c r="I28" s="23"/>
    </row>
    <row r="29" spans="1:11">
      <c r="B29" s="86">
        <f t="shared" si="0"/>
        <v>2014</v>
      </c>
      <c r="C29" s="87">
        <f t="shared" si="0"/>
        <v>2</v>
      </c>
      <c r="D29" s="90">
        <f t="shared" ref="D29:D67" si="1">$C$14*(1-$C$18)*$C$20*$C$21</f>
        <v>300657.05249001505</v>
      </c>
      <c r="E29" s="88">
        <f t="shared" ref="E29:E67" si="2">D29/((1+$C$12)^(C29))</f>
        <v>288982.17271243274</v>
      </c>
      <c r="F29" s="88">
        <f t="shared" ref="F29:F67" si="3">E29/((1+$C$13)^(C29))</f>
        <v>272704.80951475282</v>
      </c>
      <c r="G29" s="89"/>
      <c r="H29" s="1"/>
      <c r="I29" s="23"/>
    </row>
    <row r="30" spans="1:11">
      <c r="B30" s="86">
        <f t="shared" si="0"/>
        <v>2015</v>
      </c>
      <c r="C30" s="87">
        <f t="shared" si="0"/>
        <v>3</v>
      </c>
      <c r="D30" s="90">
        <f t="shared" si="1"/>
        <v>300657.05249001505</v>
      </c>
      <c r="E30" s="88">
        <f t="shared" si="2"/>
        <v>283315.85560042429</v>
      </c>
      <c r="F30" s="88">
        <f t="shared" si="3"/>
        <v>259718.86620452648</v>
      </c>
      <c r="G30" s="89"/>
      <c r="H30" s="1"/>
      <c r="I30" s="23"/>
    </row>
    <row r="31" spans="1:11">
      <c r="B31" s="86">
        <f t="shared" si="0"/>
        <v>2016</v>
      </c>
      <c r="C31" s="87">
        <f t="shared" si="0"/>
        <v>4</v>
      </c>
      <c r="D31" s="90">
        <f t="shared" si="1"/>
        <v>300657.05249001505</v>
      </c>
      <c r="E31" s="88">
        <f t="shared" si="2"/>
        <v>277760.64274551399</v>
      </c>
      <c r="F31" s="88">
        <f t="shared" si="3"/>
        <v>247351.30114716804</v>
      </c>
      <c r="G31" s="89"/>
      <c r="H31" s="1"/>
      <c r="I31" s="23"/>
    </row>
    <row r="32" spans="1:11">
      <c r="B32" s="86">
        <f t="shared" si="0"/>
        <v>2017</v>
      </c>
      <c r="C32" s="87">
        <f t="shared" si="0"/>
        <v>5</v>
      </c>
      <c r="D32" s="90">
        <f t="shared" si="1"/>
        <v>300657.05249001505</v>
      </c>
      <c r="E32" s="88">
        <f t="shared" si="2"/>
        <v>272314.35563285684</v>
      </c>
      <c r="F32" s="88">
        <f t="shared" si="3"/>
        <v>235572.66775920763</v>
      </c>
      <c r="G32" s="89"/>
      <c r="H32" s="1"/>
      <c r="I32" s="23"/>
    </row>
    <row r="33" spans="2:9">
      <c r="B33" s="86">
        <f t="shared" si="0"/>
        <v>2018</v>
      </c>
      <c r="C33" s="87">
        <f t="shared" si="0"/>
        <v>6</v>
      </c>
      <c r="D33" s="90">
        <f t="shared" si="1"/>
        <v>300657.05249001505</v>
      </c>
      <c r="E33" s="88">
        <f t="shared" si="2"/>
        <v>266974.85846358514</v>
      </c>
      <c r="F33" s="88">
        <f t="shared" si="3"/>
        <v>224354.92167543582</v>
      </c>
      <c r="G33" s="89"/>
      <c r="H33" s="1"/>
      <c r="I33" s="23"/>
    </row>
    <row r="34" spans="2:9">
      <c r="B34" s="86">
        <f t="shared" si="0"/>
        <v>2019</v>
      </c>
      <c r="C34" s="87">
        <f t="shared" si="0"/>
        <v>7</v>
      </c>
      <c r="D34" s="90">
        <f t="shared" si="1"/>
        <v>300657.05249001505</v>
      </c>
      <c r="E34" s="88">
        <f t="shared" si="2"/>
        <v>261740.0573172404</v>
      </c>
      <c r="F34" s="88">
        <f t="shared" si="3"/>
        <v>213671.35397660558</v>
      </c>
      <c r="G34" s="89"/>
      <c r="H34" s="1"/>
      <c r="I34" s="23"/>
    </row>
    <row r="35" spans="2:9">
      <c r="B35" s="86">
        <f t="shared" si="0"/>
        <v>2020</v>
      </c>
      <c r="C35" s="87">
        <f t="shared" si="0"/>
        <v>8</v>
      </c>
      <c r="D35" s="90">
        <f t="shared" si="1"/>
        <v>300657.05249001505</v>
      </c>
      <c r="E35" s="88">
        <f t="shared" si="2"/>
        <v>256607.89933062781</v>
      </c>
      <c r="F35" s="88">
        <f t="shared" si="3"/>
        <v>203496.52759676718</v>
      </c>
      <c r="G35" s="89"/>
      <c r="H35" s="1"/>
      <c r="I35" s="23"/>
    </row>
    <row r="36" spans="2:9">
      <c r="B36" s="86">
        <f t="shared" si="0"/>
        <v>2021</v>
      </c>
      <c r="C36" s="87">
        <f t="shared" si="0"/>
        <v>9</v>
      </c>
      <c r="D36" s="90">
        <f t="shared" si="1"/>
        <v>300657.05249001505</v>
      </c>
      <c r="E36" s="88">
        <f t="shared" si="2"/>
        <v>251576.37189277235</v>
      </c>
      <c r="F36" s="88">
        <f t="shared" si="3"/>
        <v>193806.21675882585</v>
      </c>
      <c r="G36" s="89"/>
      <c r="H36" s="1"/>
      <c r="I36" s="23"/>
    </row>
    <row r="37" spans="2:9">
      <c r="B37" s="86">
        <f t="shared" si="0"/>
        <v>2022</v>
      </c>
      <c r="C37" s="87">
        <f t="shared" si="0"/>
        <v>10</v>
      </c>
      <c r="D37" s="90">
        <f t="shared" si="1"/>
        <v>300657.05249001505</v>
      </c>
      <c r="E37" s="88">
        <f t="shared" si="2"/>
        <v>246643.50185565918</v>
      </c>
      <c r="F37" s="88">
        <f t="shared" si="3"/>
        <v>184577.34929411986</v>
      </c>
      <c r="G37" s="96"/>
      <c r="H37" s="1"/>
      <c r="I37" s="23"/>
    </row>
    <row r="38" spans="2:9">
      <c r="B38" s="86">
        <f t="shared" si="0"/>
        <v>2023</v>
      </c>
      <c r="C38" s="87">
        <f t="shared" si="0"/>
        <v>11</v>
      </c>
      <c r="D38" s="90">
        <f t="shared" si="1"/>
        <v>300657.05249001505</v>
      </c>
      <c r="E38" s="88">
        <f t="shared" si="2"/>
        <v>241807.35476045022</v>
      </c>
      <c r="F38" s="88">
        <f t="shared" si="3"/>
        <v>175787.95170868558</v>
      </c>
      <c r="G38" s="89"/>
      <c r="H38" s="1"/>
      <c r="I38" s="23"/>
    </row>
    <row r="39" spans="2:9">
      <c r="B39" s="86">
        <f t="shared" si="0"/>
        <v>2024</v>
      </c>
      <c r="C39" s="87">
        <f t="shared" si="0"/>
        <v>12</v>
      </c>
      <c r="D39" s="90">
        <f t="shared" si="1"/>
        <v>300657.05249001505</v>
      </c>
      <c r="E39" s="88">
        <f t="shared" si="2"/>
        <v>237066.0340788727</v>
      </c>
      <c r="F39" s="88">
        <f t="shared" si="3"/>
        <v>167417.09686541479</v>
      </c>
      <c r="G39" s="89"/>
      <c r="H39" s="1"/>
      <c r="I39" s="23"/>
    </row>
    <row r="40" spans="2:9">
      <c r="B40" s="86">
        <f t="shared" si="0"/>
        <v>2025</v>
      </c>
      <c r="C40" s="87">
        <f t="shared" si="0"/>
        <v>13</v>
      </c>
      <c r="D40" s="90">
        <f t="shared" si="1"/>
        <v>300657.05249001505</v>
      </c>
      <c r="E40" s="88">
        <f t="shared" si="2"/>
        <v>232417.68046948308</v>
      </c>
      <c r="F40" s="88">
        <f t="shared" si="3"/>
        <v>159444.85415753789</v>
      </c>
      <c r="G40" s="89"/>
      <c r="H40" s="1"/>
      <c r="I40" s="23"/>
    </row>
    <row r="41" spans="2:9">
      <c r="B41" s="86">
        <f t="shared" si="0"/>
        <v>2026</v>
      </c>
      <c r="C41" s="87">
        <f t="shared" si="0"/>
        <v>14</v>
      </c>
      <c r="D41" s="90">
        <f t="shared" si="1"/>
        <v>300657.05249001505</v>
      </c>
      <c r="E41" s="88">
        <f t="shared" si="2"/>
        <v>227860.47104851279</v>
      </c>
      <c r="F41" s="88">
        <f t="shared" si="3"/>
        <v>151852.24205479797</v>
      </c>
      <c r="G41" s="89"/>
      <c r="H41" s="1"/>
      <c r="I41" s="23"/>
    </row>
    <row r="42" spans="2:9">
      <c r="B42" s="86">
        <f t="shared" si="0"/>
        <v>2027</v>
      </c>
      <c r="C42" s="87">
        <f t="shared" si="0"/>
        <v>15</v>
      </c>
      <c r="D42" s="90">
        <f t="shared" si="1"/>
        <v>300657.05249001505</v>
      </c>
      <c r="E42" s="88">
        <f t="shared" si="2"/>
        <v>223392.61867501261</v>
      </c>
      <c r="F42" s="88">
        <f t="shared" si="3"/>
        <v>144621.18290933143</v>
      </c>
      <c r="G42" s="89"/>
      <c r="H42" s="1"/>
      <c r="I42" s="23"/>
    </row>
    <row r="43" spans="2:9">
      <c r="B43" s="86">
        <f t="shared" si="0"/>
        <v>2028</v>
      </c>
      <c r="C43" s="87">
        <f t="shared" si="0"/>
        <v>16</v>
      </c>
      <c r="D43" s="90">
        <f t="shared" si="1"/>
        <v>300657.05249001505</v>
      </c>
      <c r="E43" s="88">
        <f t="shared" si="2"/>
        <v>219012.37125001231</v>
      </c>
      <c r="F43" s="88">
        <f t="shared" si="3"/>
        <v>137734.45991364893</v>
      </c>
      <c r="G43" s="89"/>
      <c r="H43" s="1"/>
      <c r="I43" s="23"/>
    </row>
    <row r="44" spans="2:9">
      <c r="B44" s="86">
        <f t="shared" ref="B44:C59" si="4">B43+1</f>
        <v>2029</v>
      </c>
      <c r="C44" s="87">
        <f t="shared" si="4"/>
        <v>17</v>
      </c>
      <c r="D44" s="90">
        <f t="shared" si="1"/>
        <v>300657.05249001505</v>
      </c>
      <c r="E44" s="88">
        <f t="shared" si="2"/>
        <v>214718.01102942383</v>
      </c>
      <c r="F44" s="88">
        <f t="shared" si="3"/>
        <v>131175.67610823706</v>
      </c>
      <c r="G44" s="89"/>
      <c r="H44" s="1"/>
      <c r="I44" s="23"/>
    </row>
    <row r="45" spans="2:9">
      <c r="B45" s="86">
        <f t="shared" si="4"/>
        <v>2030</v>
      </c>
      <c r="C45" s="87">
        <f t="shared" si="4"/>
        <v>18</v>
      </c>
      <c r="D45" s="90">
        <f t="shared" si="1"/>
        <v>300657.05249001505</v>
      </c>
      <c r="E45" s="88">
        <f t="shared" si="2"/>
        <v>210507.85395041553</v>
      </c>
      <c r="F45" s="88">
        <f t="shared" si="3"/>
        <v>124929.21534117816</v>
      </c>
      <c r="G45" s="89"/>
      <c r="H45" s="1"/>
      <c r="I45" s="23"/>
    </row>
    <row r="46" spans="2:9">
      <c r="B46" s="86">
        <f t="shared" si="4"/>
        <v>2031</v>
      </c>
      <c r="C46" s="87">
        <f t="shared" si="4"/>
        <v>19</v>
      </c>
      <c r="D46" s="90">
        <f t="shared" si="1"/>
        <v>300657.05249001505</v>
      </c>
      <c r="E46" s="88">
        <f t="shared" si="2"/>
        <v>206380.24897099563</v>
      </c>
      <c r="F46" s="88">
        <f t="shared" si="3"/>
        <v>118980.20508683633</v>
      </c>
      <c r="G46" s="89"/>
      <c r="H46" s="1"/>
      <c r="I46" s="23"/>
    </row>
    <row r="47" spans="2:9">
      <c r="B47" s="86">
        <f t="shared" si="4"/>
        <v>2032</v>
      </c>
      <c r="C47" s="87">
        <f t="shared" si="4"/>
        <v>20</v>
      </c>
      <c r="D47" s="90">
        <f t="shared" si="1"/>
        <v>300657.05249001505</v>
      </c>
      <c r="E47" s="88">
        <f t="shared" si="2"/>
        <v>202333.57742254471</v>
      </c>
      <c r="F47" s="88">
        <f t="shared" si="3"/>
        <v>113314.48103508219</v>
      </c>
      <c r="G47" s="89"/>
      <c r="H47" s="1"/>
      <c r="I47" s="23"/>
    </row>
    <row r="48" spans="2:9">
      <c r="B48" s="86">
        <f t="shared" si="4"/>
        <v>2033</v>
      </c>
      <c r="C48" s="87">
        <f t="shared" si="4"/>
        <v>21</v>
      </c>
      <c r="D48" s="90">
        <f t="shared" si="1"/>
        <v>300657.05249001505</v>
      </c>
      <c r="E48" s="88">
        <f t="shared" si="2"/>
        <v>198366.25237504384</v>
      </c>
      <c r="F48" s="88">
        <f t="shared" si="3"/>
        <v>107918.55336674495</v>
      </c>
      <c r="G48" s="89"/>
      <c r="H48" s="1"/>
      <c r="I48" s="23"/>
    </row>
    <row r="49" spans="2:9">
      <c r="B49" s="86">
        <f t="shared" si="4"/>
        <v>2034</v>
      </c>
      <c r="C49" s="87">
        <f t="shared" si="4"/>
        <v>22</v>
      </c>
      <c r="D49" s="90">
        <f t="shared" si="1"/>
        <v>300657.05249001505</v>
      </c>
      <c r="E49" s="88">
        <f t="shared" si="2"/>
        <v>194476.71801474885</v>
      </c>
      <c r="F49" s="88">
        <f t="shared" si="3"/>
        <v>102779.57463499518</v>
      </c>
      <c r="G49" s="89"/>
      <c r="H49" s="1"/>
      <c r="I49" s="23"/>
    </row>
    <row r="50" spans="2:9">
      <c r="B50" s="86">
        <f t="shared" si="4"/>
        <v>2035</v>
      </c>
      <c r="C50" s="87">
        <f t="shared" si="4"/>
        <v>23</v>
      </c>
      <c r="D50" s="90">
        <f t="shared" si="1"/>
        <v>300657.05249001505</v>
      </c>
      <c r="E50" s="88">
        <f t="shared" si="2"/>
        <v>190663.44903406754</v>
      </c>
      <c r="F50" s="88">
        <f t="shared" si="3"/>
        <v>97885.309176185896</v>
      </c>
      <c r="G50" s="89"/>
      <c r="H50" s="1"/>
      <c r="I50" s="23"/>
    </row>
    <row r="51" spans="2:9">
      <c r="B51" s="86">
        <f t="shared" si="4"/>
        <v>2036</v>
      </c>
      <c r="C51" s="87">
        <f t="shared" si="4"/>
        <v>24</v>
      </c>
      <c r="D51" s="90">
        <f t="shared" si="1"/>
        <v>300657.05249001505</v>
      </c>
      <c r="E51" s="88">
        <f t="shared" si="2"/>
        <v>186924.95003339954</v>
      </c>
      <c r="F51" s="88">
        <f t="shared" si="3"/>
        <v>93224.103977319872</v>
      </c>
      <c r="G51" s="89"/>
      <c r="H51" s="1"/>
      <c r="I51" s="23"/>
    </row>
    <row r="52" spans="2:9">
      <c r="B52" s="86">
        <f t="shared" si="4"/>
        <v>2037</v>
      </c>
      <c r="C52" s="87">
        <f t="shared" si="4"/>
        <v>25</v>
      </c>
      <c r="D52" s="90">
        <f t="shared" si="1"/>
        <v>300657.05249001505</v>
      </c>
      <c r="E52" s="88">
        <f t="shared" si="2"/>
        <v>183259.75493470544</v>
      </c>
      <c r="F52" s="88">
        <f t="shared" si="3"/>
        <v>88784.860930780836</v>
      </c>
      <c r="G52" s="89"/>
      <c r="H52" s="1"/>
      <c r="I52" s="23"/>
    </row>
    <row r="53" spans="2:9">
      <c r="B53" s="86">
        <f t="shared" si="4"/>
        <v>2038</v>
      </c>
      <c r="C53" s="87">
        <f t="shared" si="4"/>
        <v>26</v>
      </c>
      <c r="D53" s="90">
        <f t="shared" si="1"/>
        <v>300657.05249001505</v>
      </c>
      <c r="E53" s="88">
        <f t="shared" si="2"/>
        <v>179666.42640657394</v>
      </c>
      <c r="F53" s="88">
        <f t="shared" si="3"/>
        <v>84557.010410267438</v>
      </c>
      <c r="G53" s="89"/>
      <c r="H53" s="1"/>
      <c r="I53" s="23"/>
    </row>
    <row r="54" spans="2:9">
      <c r="B54" s="86">
        <f t="shared" si="4"/>
        <v>2039</v>
      </c>
      <c r="C54" s="87">
        <f t="shared" si="4"/>
        <v>27</v>
      </c>
      <c r="D54" s="90">
        <f t="shared" si="1"/>
        <v>300657.05249001505</v>
      </c>
      <c r="E54" s="88">
        <f t="shared" si="2"/>
        <v>176143.55530056273</v>
      </c>
      <c r="F54" s="88">
        <f t="shared" si="3"/>
        <v>80530.486105016622</v>
      </c>
      <c r="G54" s="89"/>
      <c r="H54" s="1"/>
      <c r="I54" s="23"/>
    </row>
    <row r="55" spans="2:9">
      <c r="B55" s="86">
        <f t="shared" si="4"/>
        <v>2040</v>
      </c>
      <c r="C55" s="87">
        <f t="shared" si="4"/>
        <v>28</v>
      </c>
      <c r="D55" s="90">
        <f t="shared" si="1"/>
        <v>300657.05249001505</v>
      </c>
      <c r="E55" s="88">
        <f t="shared" si="2"/>
        <v>172689.76009859086</v>
      </c>
      <c r="F55" s="88">
        <f t="shared" si="3"/>
        <v>76695.701052396762</v>
      </c>
      <c r="G55" s="89"/>
      <c r="H55" s="1"/>
      <c r="I55" s="23"/>
    </row>
    <row r="56" spans="2:9">
      <c r="B56" s="86">
        <f t="shared" si="4"/>
        <v>2041</v>
      </c>
      <c r="C56" s="87">
        <f t="shared" si="4"/>
        <v>29</v>
      </c>
      <c r="D56" s="90">
        <f t="shared" si="1"/>
        <v>300657.05249001505</v>
      </c>
      <c r="E56" s="88">
        <f t="shared" si="2"/>
        <v>169303.68637116754</v>
      </c>
      <c r="F56" s="88">
        <f t="shared" si="3"/>
        <v>73043.524811806434</v>
      </c>
      <c r="G56" s="89"/>
      <c r="H56" s="1"/>
      <c r="I56" s="23"/>
    </row>
    <row r="57" spans="2:9">
      <c r="B57" s="86">
        <f t="shared" si="4"/>
        <v>2042</v>
      </c>
      <c r="C57" s="87">
        <f t="shared" si="4"/>
        <v>30</v>
      </c>
      <c r="D57" s="90">
        <f t="shared" si="1"/>
        <v>300657.05249001505</v>
      </c>
      <c r="E57" s="88">
        <f t="shared" si="2"/>
        <v>165984.00624624267</v>
      </c>
      <c r="F57" s="88">
        <f t="shared" si="3"/>
        <v>69565.261725529926</v>
      </c>
      <c r="G57" s="89"/>
      <c r="H57" s="1"/>
      <c r="I57" s="23"/>
    </row>
    <row r="58" spans="2:9">
      <c r="B58" s="86">
        <f t="shared" si="4"/>
        <v>2043</v>
      </c>
      <c r="C58" s="87">
        <f t="shared" si="4"/>
        <v>31</v>
      </c>
      <c r="D58" s="90">
        <f t="shared" si="1"/>
        <v>300657.05249001505</v>
      </c>
      <c r="E58" s="88">
        <f t="shared" si="2"/>
        <v>162729.41788847325</v>
      </c>
      <c r="F58" s="88">
        <f t="shared" si="3"/>
        <v>66252.630214790435</v>
      </c>
      <c r="G58" s="89"/>
      <c r="H58" s="1"/>
      <c r="I58" s="23"/>
    </row>
    <row r="59" spans="2:9">
      <c r="B59" s="86">
        <f t="shared" si="4"/>
        <v>2044</v>
      </c>
      <c r="C59" s="87">
        <f t="shared" si="4"/>
        <v>32</v>
      </c>
      <c r="D59" s="90">
        <f t="shared" si="1"/>
        <v>300657.05249001505</v>
      </c>
      <c r="E59" s="88">
        <f t="shared" si="2"/>
        <v>159538.64498869923</v>
      </c>
      <c r="F59" s="88">
        <f t="shared" si="3"/>
        <v>63097.74306170515</v>
      </c>
      <c r="G59" s="89"/>
      <c r="H59" s="1"/>
      <c r="I59" s="23"/>
    </row>
    <row r="60" spans="2:9">
      <c r="B60" s="86">
        <f t="shared" ref="B60:C67" si="5">B59+1</f>
        <v>2045</v>
      </c>
      <c r="C60" s="87">
        <f t="shared" si="5"/>
        <v>33</v>
      </c>
      <c r="D60" s="90">
        <f t="shared" si="1"/>
        <v>300657.05249001505</v>
      </c>
      <c r="E60" s="88">
        <f t="shared" si="2"/>
        <v>156410.4362634306</v>
      </c>
      <c r="F60" s="88">
        <f t="shared" si="3"/>
        <v>60093.088630195358</v>
      </c>
      <c r="G60" s="89"/>
      <c r="H60" s="1"/>
      <c r="I60" s="23"/>
    </row>
    <row r="61" spans="2:9">
      <c r="B61" s="86">
        <f t="shared" si="5"/>
        <v>2046</v>
      </c>
      <c r="C61" s="87">
        <f t="shared" si="5"/>
        <v>34</v>
      </c>
      <c r="D61" s="90">
        <f t="shared" si="1"/>
        <v>300657.05249001505</v>
      </c>
      <c r="E61" s="88">
        <f t="shared" si="2"/>
        <v>153343.56496414766</v>
      </c>
      <c r="F61" s="88">
        <f t="shared" si="3"/>
        <v>57231.512981138447</v>
      </c>
      <c r="G61" s="89"/>
      <c r="H61" s="1"/>
      <c r="I61" s="23"/>
    </row>
    <row r="62" spans="2:9">
      <c r="B62" s="86">
        <f t="shared" si="5"/>
        <v>2047</v>
      </c>
      <c r="C62" s="87">
        <f t="shared" si="5"/>
        <v>35</v>
      </c>
      <c r="D62" s="90">
        <f t="shared" si="1"/>
        <v>300657.05249001505</v>
      </c>
      <c r="E62" s="88">
        <f t="shared" si="2"/>
        <v>150336.82839622319</v>
      </c>
      <c r="F62" s="88">
        <f t="shared" si="3"/>
        <v>54506.202839179467</v>
      </c>
      <c r="G62" s="89"/>
      <c r="H62" s="1"/>
      <c r="I62" s="23"/>
    </row>
    <row r="63" spans="2:9">
      <c r="B63" s="86">
        <f t="shared" si="5"/>
        <v>2048</v>
      </c>
      <c r="C63" s="87">
        <f t="shared" si="5"/>
        <v>36</v>
      </c>
      <c r="D63" s="90">
        <f t="shared" si="1"/>
        <v>300657.05249001505</v>
      </c>
      <c r="E63" s="88">
        <f t="shared" si="2"/>
        <v>147389.04744727767</v>
      </c>
      <c r="F63" s="88">
        <f t="shared" si="3"/>
        <v>51910.669370647112</v>
      </c>
      <c r="G63" s="89"/>
      <c r="H63" s="1"/>
      <c r="I63" s="23"/>
    </row>
    <row r="64" spans="2:9">
      <c r="B64" s="86">
        <f t="shared" si="5"/>
        <v>2049</v>
      </c>
      <c r="C64" s="87">
        <f t="shared" si="5"/>
        <v>37</v>
      </c>
      <c r="D64" s="90">
        <f t="shared" si="1"/>
        <v>300657.05249001505</v>
      </c>
      <c r="E64" s="88">
        <f t="shared" si="2"/>
        <v>144499.066124782</v>
      </c>
      <c r="F64" s="88">
        <f t="shared" si="3"/>
        <v>49438.732733949619</v>
      </c>
      <c r="G64" s="89"/>
      <c r="H64" s="1"/>
      <c r="I64" s="23"/>
    </row>
    <row r="65" spans="2:9">
      <c r="B65" s="86">
        <f t="shared" si="5"/>
        <v>2050</v>
      </c>
      <c r="C65" s="87">
        <f t="shared" si="5"/>
        <v>38</v>
      </c>
      <c r="D65" s="90">
        <f t="shared" si="1"/>
        <v>300657.05249001505</v>
      </c>
      <c r="E65" s="88">
        <f t="shared" si="2"/>
        <v>141665.75110272743</v>
      </c>
      <c r="F65" s="88">
        <f t="shared" si="3"/>
        <v>47084.507365666293</v>
      </c>
      <c r="G65" s="89"/>
      <c r="H65" s="1"/>
      <c r="I65" s="23"/>
    </row>
    <row r="66" spans="2:9">
      <c r="B66" s="86">
        <f t="shared" si="5"/>
        <v>2051</v>
      </c>
      <c r="C66" s="87">
        <f t="shared" si="5"/>
        <v>39</v>
      </c>
      <c r="D66" s="90">
        <f t="shared" si="1"/>
        <v>300657.05249001505</v>
      </c>
      <c r="E66" s="88">
        <f t="shared" si="2"/>
        <v>138887.99127718381</v>
      </c>
      <c r="F66" s="88">
        <f t="shared" si="3"/>
        <v>44842.387967301249</v>
      </c>
      <c r="G66" s="89"/>
      <c r="H66" s="1"/>
      <c r="I66" s="23"/>
    </row>
    <row r="67" spans="2:9" ht="15.75" thickBot="1">
      <c r="B67" s="51">
        <f t="shared" si="5"/>
        <v>2052</v>
      </c>
      <c r="C67" s="92">
        <f t="shared" si="5"/>
        <v>40</v>
      </c>
      <c r="D67" s="93">
        <f t="shared" si="1"/>
        <v>300657.05249001505</v>
      </c>
      <c r="E67" s="94">
        <f t="shared" si="2"/>
        <v>136164.69733057232</v>
      </c>
      <c r="F67" s="94">
        <f t="shared" si="3"/>
        <v>42707.036159334501</v>
      </c>
      <c r="G67" s="97"/>
      <c r="H67" s="1"/>
      <c r="I67" s="23"/>
    </row>
    <row r="68" spans="2:9">
      <c r="B68" s="34"/>
      <c r="C68" s="34"/>
      <c r="D68" s="35"/>
      <c r="E68" s="36"/>
      <c r="F68" s="36"/>
      <c r="G68" s="30"/>
      <c r="H68" s="30"/>
    </row>
  </sheetData>
  <sheetProtection password="C907" sheet="1" objects="1" scenarios="1"/>
  <mergeCells count="10">
    <mergeCell ref="A3:F5"/>
    <mergeCell ref="B23:G23"/>
    <mergeCell ref="E21:H21"/>
    <mergeCell ref="E7:H7"/>
    <mergeCell ref="E9:H9"/>
    <mergeCell ref="E18:H18"/>
    <mergeCell ref="E19:H19"/>
    <mergeCell ref="E20:H20"/>
    <mergeCell ref="E8:H8"/>
    <mergeCell ref="E14:H14"/>
  </mergeCells>
  <pageMargins left="0.70866141732283472" right="0.70866141732283472" top="0.74803149606299213" bottom="0.74803149606299213" header="0.31496062992125984" footer="0.31496062992125984"/>
  <pageSetup paperSize="9" scale="50"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K87"/>
  <sheetViews>
    <sheetView zoomScaleNormal="100" workbookViewId="0">
      <selection activeCell="D13" sqref="D13"/>
    </sheetView>
  </sheetViews>
  <sheetFormatPr defaultRowHeight="15"/>
  <cols>
    <col min="1" max="1" width="46.140625" customWidth="1"/>
    <col min="2" max="2" width="12" style="26" customWidth="1"/>
    <col min="3" max="3" width="19" customWidth="1"/>
    <col min="4" max="4" width="16" customWidth="1"/>
    <col min="5" max="5" width="18" customWidth="1"/>
    <col min="6" max="6" width="21" customWidth="1"/>
    <col min="7" max="7" width="22" customWidth="1"/>
    <col min="8" max="8" width="19" customWidth="1"/>
    <col min="9" max="9" width="21.5703125" customWidth="1"/>
  </cols>
  <sheetData>
    <row r="1" spans="1:11" ht="18.75">
      <c r="A1" s="38" t="s">
        <v>230</v>
      </c>
      <c r="D1" s="37" t="s">
        <v>150</v>
      </c>
    </row>
    <row r="2" spans="1:11">
      <c r="A2" s="38"/>
      <c r="B2" s="140"/>
      <c r="D2" s="37"/>
    </row>
    <row r="3" spans="1:11">
      <c r="A3" s="292" t="s">
        <v>266</v>
      </c>
      <c r="B3" s="293"/>
      <c r="C3" s="293"/>
      <c r="D3" s="293"/>
      <c r="E3" s="293"/>
      <c r="F3" s="294"/>
    </row>
    <row r="4" spans="1:11">
      <c r="A4" s="295"/>
      <c r="B4" s="296"/>
      <c r="C4" s="296"/>
      <c r="D4" s="296"/>
      <c r="E4" s="296"/>
      <c r="F4" s="297"/>
    </row>
    <row r="5" spans="1:11">
      <c r="A5" s="298"/>
      <c r="B5" s="299"/>
      <c r="C5" s="299"/>
      <c r="D5" s="299"/>
      <c r="E5" s="299"/>
      <c r="F5" s="300"/>
    </row>
    <row r="7" spans="1:11">
      <c r="A7" s="25" t="s">
        <v>35</v>
      </c>
      <c r="B7" s="25" t="s">
        <v>24</v>
      </c>
      <c r="E7" s="289" t="s">
        <v>22</v>
      </c>
      <c r="F7" s="290"/>
      <c r="G7" s="290"/>
      <c r="H7" s="291"/>
      <c r="I7" s="18"/>
      <c r="J7" s="18"/>
      <c r="K7" s="18"/>
    </row>
    <row r="8" spans="1:11" ht="17.25" customHeight="1">
      <c r="A8" s="108" t="s">
        <v>166</v>
      </c>
      <c r="B8" s="11" t="s">
        <v>137</v>
      </c>
      <c r="C8" s="109">
        <f>'Input Information'!G67</f>
        <v>2500000</v>
      </c>
      <c r="E8" s="312" t="str">
        <f>"Identified at a first glace as annual expenses in "&amp;B46&amp;" currency; if any additional sub-categories were identified on that worksheet, they will be included in the total but not shown in this subcost list"</f>
        <v>Identified at a first glace as annual expenses in 2012 currency; if any additional sub-categories were identified on that worksheet, they will be included in the total but not shown in this subcost list</v>
      </c>
      <c r="F8" s="313"/>
      <c r="G8" s="313"/>
      <c r="H8" s="314"/>
      <c r="I8" s="32"/>
      <c r="J8" s="32"/>
      <c r="K8" s="32"/>
    </row>
    <row r="9" spans="1:11">
      <c r="A9" s="13" t="s">
        <v>16</v>
      </c>
      <c r="B9" s="11"/>
      <c r="C9" s="52">
        <f>'Input Information'!G68</f>
        <v>0</v>
      </c>
      <c r="E9" s="315"/>
      <c r="F9" s="316"/>
      <c r="G9" s="316"/>
      <c r="H9" s="317"/>
      <c r="I9" s="32"/>
      <c r="J9" s="32"/>
      <c r="K9" s="32"/>
    </row>
    <row r="10" spans="1:11">
      <c r="A10" s="13" t="s">
        <v>17</v>
      </c>
      <c r="B10" s="11"/>
      <c r="C10" s="52">
        <f>'Input Information'!G69</f>
        <v>1000000</v>
      </c>
      <c r="E10" s="315"/>
      <c r="F10" s="316"/>
      <c r="G10" s="316"/>
      <c r="H10" s="317"/>
      <c r="I10" s="32"/>
      <c r="J10" s="32"/>
      <c r="K10" s="32"/>
    </row>
    <row r="11" spans="1:11">
      <c r="A11" s="13" t="s">
        <v>19</v>
      </c>
      <c r="B11" s="11"/>
      <c r="C11" s="52">
        <f>'Input Information'!G70</f>
        <v>500000</v>
      </c>
      <c r="E11" s="315"/>
      <c r="F11" s="316"/>
      <c r="G11" s="316"/>
      <c r="H11" s="317"/>
      <c r="I11" s="32"/>
      <c r="J11" s="32"/>
      <c r="K11" s="32"/>
    </row>
    <row r="12" spans="1:11">
      <c r="A12" s="13" t="s">
        <v>18</v>
      </c>
      <c r="B12" s="11"/>
      <c r="C12" s="52">
        <f>'Input Information'!G71</f>
        <v>1000000</v>
      </c>
      <c r="E12" s="315"/>
      <c r="F12" s="316"/>
      <c r="G12" s="316"/>
      <c r="H12" s="317"/>
      <c r="I12" s="32"/>
      <c r="J12" s="32"/>
      <c r="K12" s="32"/>
    </row>
    <row r="13" spans="1:11">
      <c r="A13" s="13" t="s">
        <v>164</v>
      </c>
      <c r="B13" s="11"/>
      <c r="C13" s="52">
        <f>'Input Information'!G72</f>
        <v>0</v>
      </c>
      <c r="E13" s="315"/>
      <c r="F13" s="316"/>
      <c r="G13" s="316"/>
      <c r="H13" s="317"/>
      <c r="I13" s="32"/>
      <c r="J13" s="32"/>
      <c r="K13" s="32"/>
    </row>
    <row r="14" spans="1:11">
      <c r="A14" s="13" t="s">
        <v>165</v>
      </c>
      <c r="B14" s="11"/>
      <c r="C14" s="52">
        <f>'Input Information'!G74</f>
        <v>0</v>
      </c>
      <c r="E14" s="318"/>
      <c r="F14" s="319"/>
      <c r="G14" s="319"/>
      <c r="H14" s="320"/>
      <c r="I14" s="32"/>
      <c r="J14" s="32"/>
      <c r="K14" s="32"/>
    </row>
    <row r="15" spans="1:11" ht="30" customHeight="1">
      <c r="A15" s="40" t="s">
        <v>36</v>
      </c>
      <c r="B15" s="41"/>
      <c r="C15" s="53">
        <f>'Input Information'!G17</f>
        <v>40</v>
      </c>
      <c r="D15" s="40" t="s">
        <v>37</v>
      </c>
      <c r="E15" s="271" t="s">
        <v>232</v>
      </c>
      <c r="F15" s="272"/>
      <c r="G15" s="272"/>
      <c r="H15" s="273"/>
    </row>
    <row r="16" spans="1:11">
      <c r="A16" s="43" t="s">
        <v>122</v>
      </c>
      <c r="B16" s="41" t="s">
        <v>118</v>
      </c>
      <c r="C16" s="53">
        <f>'Input Information'!G34</f>
        <v>1</v>
      </c>
      <c r="D16" s="43"/>
      <c r="E16" s="34"/>
      <c r="F16" s="34"/>
      <c r="G16" s="34"/>
      <c r="H16" s="34"/>
    </row>
    <row r="17" spans="1:11">
      <c r="A17" s="43" t="s">
        <v>121</v>
      </c>
      <c r="B17" s="41" t="s">
        <v>119</v>
      </c>
      <c r="C17" s="54">
        <f>'Input Information'!F80</f>
        <v>0.05</v>
      </c>
      <c r="D17" s="43"/>
      <c r="E17" s="34"/>
      <c r="F17" s="34"/>
      <c r="G17" s="34"/>
      <c r="H17" s="34"/>
    </row>
    <row r="18" spans="1:11">
      <c r="A18" s="43" t="s">
        <v>40</v>
      </c>
      <c r="B18" s="41" t="s">
        <v>120</v>
      </c>
      <c r="C18" s="54">
        <f>'Input Information'!F81</f>
        <v>0.02</v>
      </c>
      <c r="D18" s="43"/>
      <c r="E18" s="34"/>
      <c r="F18" s="34"/>
      <c r="G18" s="34"/>
      <c r="H18" s="34"/>
    </row>
    <row r="19" spans="1:11">
      <c r="A19" s="43" t="s">
        <v>39</v>
      </c>
      <c r="B19" s="41"/>
      <c r="C19" s="57">
        <f>'Input Information'!F82</f>
        <v>2.941176470588247E-2</v>
      </c>
      <c r="D19" s="43"/>
      <c r="E19" s="34"/>
      <c r="F19" s="34"/>
      <c r="G19" s="34"/>
      <c r="H19" s="34"/>
    </row>
    <row r="20" spans="1:11">
      <c r="B20" s="11"/>
      <c r="E20" s="45"/>
      <c r="F20" s="45"/>
      <c r="G20" s="45"/>
      <c r="H20" s="45"/>
    </row>
    <row r="21" spans="1:11">
      <c r="A21" s="10" t="s">
        <v>23</v>
      </c>
      <c r="B21" s="11"/>
      <c r="E21" s="46"/>
      <c r="F21" s="46"/>
      <c r="G21" s="46"/>
      <c r="H21" s="46"/>
      <c r="I21" s="13"/>
      <c r="J21" s="13"/>
      <c r="K21" s="13"/>
    </row>
    <row r="22" spans="1:11">
      <c r="A22" s="10"/>
      <c r="B22" s="11"/>
      <c r="E22" s="46"/>
      <c r="F22" s="46"/>
      <c r="G22" s="46"/>
      <c r="H22" s="46"/>
      <c r="I22" s="13"/>
      <c r="J22" s="13"/>
      <c r="K22" s="13"/>
    </row>
    <row r="23" spans="1:11" ht="30">
      <c r="A23" s="29" t="s">
        <v>261</v>
      </c>
      <c r="B23" s="12" t="s">
        <v>138</v>
      </c>
      <c r="C23" s="64">
        <f>'A-Capital'!C28</f>
        <v>20000000</v>
      </c>
      <c r="D23" s="4"/>
      <c r="E23" s="262" t="s">
        <v>62</v>
      </c>
      <c r="F23" s="263"/>
      <c r="G23" s="263"/>
      <c r="H23" s="264"/>
      <c r="I23" s="13"/>
      <c r="J23" s="13"/>
      <c r="K23" s="13"/>
    </row>
    <row r="24" spans="1:11" ht="30">
      <c r="A24" s="29" t="s">
        <v>256</v>
      </c>
      <c r="B24" s="67" t="s">
        <v>33</v>
      </c>
      <c r="C24" s="65">
        <f>'A-Capital'!C30</f>
        <v>17.159086353994443</v>
      </c>
      <c r="D24" s="4"/>
      <c r="E24" s="262" t="s">
        <v>69</v>
      </c>
      <c r="F24" s="263"/>
      <c r="G24" s="263"/>
      <c r="H24" s="264"/>
      <c r="I24" s="13"/>
      <c r="J24" s="13"/>
      <c r="K24" s="13"/>
    </row>
    <row r="25" spans="1:11">
      <c r="A25" s="29"/>
      <c r="B25" s="12"/>
      <c r="C25" s="67"/>
      <c r="D25" s="4"/>
      <c r="E25" s="16"/>
      <c r="F25" s="16"/>
      <c r="G25" s="16"/>
      <c r="H25" s="16"/>
      <c r="I25" s="13"/>
      <c r="J25" s="13"/>
      <c r="K25" s="13"/>
    </row>
    <row r="26" spans="1:11" ht="30">
      <c r="A26" s="29" t="s">
        <v>260</v>
      </c>
      <c r="B26" s="12" t="s">
        <v>139</v>
      </c>
      <c r="C26" s="64">
        <f>'A-Capital'!C37</f>
        <v>0</v>
      </c>
      <c r="D26" s="4"/>
      <c r="E26" s="262" t="s">
        <v>62</v>
      </c>
      <c r="F26" s="263"/>
      <c r="G26" s="263"/>
      <c r="H26" s="264"/>
      <c r="I26" s="13"/>
      <c r="J26" s="13"/>
      <c r="K26" s="13"/>
    </row>
    <row r="27" spans="1:11" ht="30">
      <c r="A27" s="29" t="s">
        <v>256</v>
      </c>
      <c r="B27" s="59" t="s">
        <v>125</v>
      </c>
      <c r="C27" s="61">
        <f>'A-Capital'!C39</f>
        <v>7.7217349291848123</v>
      </c>
      <c r="D27" s="4"/>
      <c r="E27" s="262" t="s">
        <v>69</v>
      </c>
      <c r="F27" s="263"/>
      <c r="G27" s="263"/>
      <c r="H27" s="264"/>
      <c r="I27" s="13"/>
      <c r="J27" s="13"/>
      <c r="K27" s="13"/>
    </row>
    <row r="28" spans="1:11" ht="30">
      <c r="A28" s="29" t="s">
        <v>259</v>
      </c>
      <c r="B28" s="12" t="s">
        <v>140</v>
      </c>
      <c r="C28" s="64">
        <f>'A-Capital'!C46</f>
        <v>0</v>
      </c>
      <c r="D28" s="4"/>
      <c r="E28" s="262" t="s">
        <v>62</v>
      </c>
      <c r="F28" s="263"/>
      <c r="G28" s="263"/>
      <c r="H28" s="264"/>
      <c r="I28" s="13"/>
      <c r="J28" s="13"/>
      <c r="K28" s="13"/>
    </row>
    <row r="29" spans="1:11" ht="30">
      <c r="A29" s="29" t="s">
        <v>256</v>
      </c>
      <c r="B29" s="59" t="s">
        <v>132</v>
      </c>
      <c r="C29" s="61">
        <f>'A-Capital'!C48</f>
        <v>7.7217349291848123</v>
      </c>
      <c r="D29" s="4"/>
      <c r="E29" s="262" t="s">
        <v>69</v>
      </c>
      <c r="F29" s="263"/>
      <c r="G29" s="263"/>
      <c r="H29" s="264"/>
      <c r="I29" s="13"/>
      <c r="J29" s="13"/>
      <c r="K29" s="13"/>
    </row>
    <row r="30" spans="1:11" ht="30">
      <c r="A30" s="29" t="s">
        <v>258</v>
      </c>
      <c r="B30" s="12" t="s">
        <v>141</v>
      </c>
      <c r="C30" s="64">
        <f>'A-Capital'!C55</f>
        <v>0</v>
      </c>
      <c r="D30" s="4"/>
      <c r="E30" s="262" t="s">
        <v>62</v>
      </c>
      <c r="F30" s="263"/>
      <c r="G30" s="263"/>
      <c r="H30" s="264"/>
      <c r="I30" s="13"/>
      <c r="J30" s="13"/>
      <c r="K30" s="13"/>
    </row>
    <row r="31" spans="1:11" ht="30">
      <c r="A31" s="29" t="s">
        <v>256</v>
      </c>
      <c r="B31" s="59" t="s">
        <v>133</v>
      </c>
      <c r="C31" s="61">
        <f>'A-Capital'!C57</f>
        <v>7.7217349291848123</v>
      </c>
      <c r="D31" s="4"/>
      <c r="E31" s="262" t="s">
        <v>69</v>
      </c>
      <c r="F31" s="263"/>
      <c r="G31" s="263"/>
      <c r="H31" s="264"/>
      <c r="I31" s="13"/>
      <c r="J31" s="13"/>
      <c r="K31" s="13"/>
    </row>
    <row r="32" spans="1:11">
      <c r="A32" s="29"/>
      <c r="B32" s="12"/>
      <c r="C32" s="60"/>
      <c r="D32" s="4"/>
      <c r="E32" s="16"/>
      <c r="F32" s="16"/>
      <c r="G32" s="16"/>
      <c r="H32" s="16"/>
      <c r="I32" s="13"/>
      <c r="J32" s="13"/>
      <c r="K32" s="13"/>
    </row>
    <row r="33" spans="1:11" ht="17.25">
      <c r="A33" s="29" t="s">
        <v>257</v>
      </c>
      <c r="B33" s="73" t="s">
        <v>142</v>
      </c>
      <c r="C33" s="63">
        <f>'B-Overhead'!C25</f>
        <v>1000000</v>
      </c>
      <c r="E33" s="262" t="str">
        <f>"These would be treated as annual costs, "&amp;B46&amp;" currency"</f>
        <v>These would be treated as annual costs, 2012 currency</v>
      </c>
      <c r="F33" s="263"/>
      <c r="G33" s="263"/>
      <c r="H33" s="264"/>
      <c r="I33" s="13"/>
      <c r="J33" s="13"/>
      <c r="K33" s="13"/>
    </row>
    <row r="34" spans="1:11">
      <c r="A34" s="29"/>
      <c r="B34" s="12"/>
      <c r="C34" s="42"/>
      <c r="E34" s="16"/>
      <c r="F34" s="16"/>
      <c r="G34" s="16"/>
      <c r="H34" s="16"/>
      <c r="I34" s="13"/>
      <c r="J34" s="13"/>
      <c r="K34" s="13"/>
    </row>
    <row r="35" spans="1:11" ht="30">
      <c r="A35" s="29" t="s">
        <v>262</v>
      </c>
      <c r="B35" s="73" t="s">
        <v>143</v>
      </c>
      <c r="C35" s="52">
        <f>'C-Operational'!C26</f>
        <v>4000000</v>
      </c>
      <c r="E35" s="262" t="s">
        <v>64</v>
      </c>
      <c r="F35" s="263"/>
      <c r="G35" s="263"/>
      <c r="H35" s="264"/>
      <c r="I35" s="17"/>
      <c r="J35" s="17"/>
      <c r="K35" s="17"/>
    </row>
    <row r="36" spans="1:11" s="43" customFormat="1">
      <c r="A36" s="70"/>
      <c r="B36" s="41"/>
      <c r="C36" s="44"/>
      <c r="E36" s="72"/>
      <c r="F36" s="72"/>
      <c r="G36" s="72"/>
      <c r="H36" s="72"/>
      <c r="I36" s="45"/>
      <c r="J36" s="45"/>
      <c r="K36" s="45"/>
    </row>
    <row r="37" spans="1:11" s="43" customFormat="1" ht="30">
      <c r="A37" s="29" t="s">
        <v>263</v>
      </c>
      <c r="B37" s="73" t="s">
        <v>149</v>
      </c>
      <c r="C37" s="66">
        <f>'D-Decommissioning'!C19</f>
        <v>1000000</v>
      </c>
      <c r="E37" s="262" t="s">
        <v>63</v>
      </c>
      <c r="F37" s="263"/>
      <c r="G37" s="263"/>
      <c r="H37" s="264"/>
      <c r="I37" s="45"/>
      <c r="J37" s="45"/>
      <c r="K37" s="45"/>
    </row>
    <row r="38" spans="1:11" s="43" customFormat="1" ht="17.25">
      <c r="A38" s="29" t="s">
        <v>264</v>
      </c>
      <c r="B38" s="73" t="s">
        <v>144</v>
      </c>
      <c r="C38" s="66">
        <f>C37/(1+C17)^C15</f>
        <v>142045.68230027784</v>
      </c>
      <c r="E38" s="262" t="s">
        <v>70</v>
      </c>
      <c r="F38" s="263"/>
      <c r="G38" s="263"/>
      <c r="H38" s="264"/>
      <c r="I38" s="45"/>
      <c r="J38" s="45"/>
      <c r="K38" s="45"/>
    </row>
    <row r="39" spans="1:11" s="43" customFormat="1" ht="18">
      <c r="A39" s="29" t="s">
        <v>265</v>
      </c>
      <c r="B39" s="12" t="s">
        <v>134</v>
      </c>
      <c r="C39" s="62">
        <f>'D-Decommissioning'!C21</f>
        <v>5.8764624195990892E-2</v>
      </c>
      <c r="E39" s="262" t="s">
        <v>70</v>
      </c>
      <c r="F39" s="263"/>
      <c r="G39" s="263"/>
      <c r="H39" s="264"/>
      <c r="I39" s="45"/>
      <c r="J39" s="45"/>
      <c r="K39" s="45"/>
    </row>
    <row r="40" spans="1:11" s="43" customFormat="1">
      <c r="A40" s="70"/>
      <c r="B40" s="41"/>
      <c r="C40" s="44"/>
      <c r="E40" s="72"/>
      <c r="F40" s="72"/>
      <c r="G40" s="72"/>
      <c r="H40" s="72"/>
      <c r="I40" s="45"/>
      <c r="J40" s="45"/>
      <c r="K40" s="45"/>
    </row>
    <row r="41" spans="1:11" ht="15.75" thickBot="1">
      <c r="A41" s="4"/>
      <c r="B41" s="11"/>
    </row>
    <row r="42" spans="1:11" ht="15" customHeight="1">
      <c r="B42" s="301" t="s">
        <v>156</v>
      </c>
      <c r="C42" s="302"/>
      <c r="D42" s="302"/>
      <c r="E42" s="302"/>
      <c r="F42" s="302"/>
      <c r="G42" s="303"/>
      <c r="H42" s="39"/>
      <c r="I42" s="24"/>
    </row>
    <row r="43" spans="1:11">
      <c r="B43" s="101" t="s">
        <v>68</v>
      </c>
      <c r="C43" s="102" t="s">
        <v>136</v>
      </c>
      <c r="D43" s="102" t="s">
        <v>66</v>
      </c>
      <c r="E43" s="102" t="str">
        <f>"Costs ("&amp;B46&amp;" €)"</f>
        <v>Costs (2012 €)</v>
      </c>
      <c r="F43" s="102" t="s">
        <v>67</v>
      </c>
      <c r="G43" s="103" t="s">
        <v>43</v>
      </c>
      <c r="H43" s="27"/>
      <c r="I43" s="27"/>
    </row>
    <row r="44" spans="1:11">
      <c r="B44" s="78" t="s">
        <v>3</v>
      </c>
      <c r="C44" s="79"/>
      <c r="D44" s="81"/>
      <c r="E44" s="81"/>
      <c r="F44" s="81">
        <f>SUM(F47:F86)</f>
        <v>195164393.73082069</v>
      </c>
      <c r="G44" s="82"/>
      <c r="H44" s="22"/>
      <c r="I44" s="22"/>
    </row>
    <row r="45" spans="1:11">
      <c r="B45" s="83"/>
      <c r="C45" s="84"/>
      <c r="D45" s="84"/>
      <c r="E45" s="84"/>
      <c r="F45" s="84"/>
      <c r="G45" s="85"/>
      <c r="H45" s="21"/>
      <c r="I45" s="22"/>
    </row>
    <row r="46" spans="1:11">
      <c r="B46" s="86">
        <f>'Input Information'!G18</f>
        <v>2012</v>
      </c>
      <c r="C46" s="87">
        <v>0</v>
      </c>
      <c r="D46" s="88"/>
      <c r="E46" s="88"/>
      <c r="F46" s="88"/>
      <c r="G46" s="89"/>
      <c r="H46" s="21"/>
      <c r="I46" s="1"/>
    </row>
    <row r="47" spans="1:11">
      <c r="B47" s="86">
        <f t="shared" ref="B47:C62" si="0">B46+1</f>
        <v>2013</v>
      </c>
      <c r="C47" s="87">
        <f t="shared" si="0"/>
        <v>1</v>
      </c>
      <c r="D47" s="90">
        <f t="shared" ref="D47:D86" si="1">($C$8*((1+$C$18)^C47))+(($C$23/$C$24)*$C$16)+(($C$26/$C$27)*$C$16)+($C$38*$C$39)+($C$33*((1+$C$18)^C47))+($C$35*((1+$C$18)^C47))</f>
        <v>8823910.4844597392</v>
      </c>
      <c r="E47" s="88">
        <f t="shared" ref="E47:E86" si="2">D47/((1+$C$18)^(C47))</f>
        <v>8650892.6318232734</v>
      </c>
      <c r="F47" s="88">
        <f t="shared" ref="F47:F86" si="3">E47/((1+$C$19)^(C47))</f>
        <v>8403724.2709140368</v>
      </c>
      <c r="G47" s="89"/>
      <c r="H47" s="1"/>
      <c r="I47" s="23"/>
    </row>
    <row r="48" spans="1:11">
      <c r="B48" s="86">
        <f t="shared" si="0"/>
        <v>2014</v>
      </c>
      <c r="C48" s="87">
        <f t="shared" si="0"/>
        <v>2</v>
      </c>
      <c r="D48" s="90">
        <f t="shared" si="1"/>
        <v>8976910.4844597392</v>
      </c>
      <c r="E48" s="88">
        <f t="shared" si="2"/>
        <v>8628326.1096306611</v>
      </c>
      <c r="F48" s="88">
        <f t="shared" si="3"/>
        <v>8142322.4348841161</v>
      </c>
      <c r="G48" s="89"/>
      <c r="H48" s="1"/>
      <c r="I48" s="23"/>
    </row>
    <row r="49" spans="2:9">
      <c r="B49" s="86">
        <f t="shared" si="0"/>
        <v>2015</v>
      </c>
      <c r="C49" s="87">
        <f t="shared" si="0"/>
        <v>3</v>
      </c>
      <c r="D49" s="90">
        <f t="shared" si="1"/>
        <v>9132970.4844597392</v>
      </c>
      <c r="E49" s="88">
        <f t="shared" si="2"/>
        <v>8606202.0682653543</v>
      </c>
      <c r="F49" s="88">
        <f t="shared" si="3"/>
        <v>7889403.2907545511</v>
      </c>
      <c r="G49" s="89"/>
      <c r="H49" s="1"/>
      <c r="I49" s="23"/>
    </row>
    <row r="50" spans="2:9">
      <c r="B50" s="86">
        <f t="shared" si="0"/>
        <v>2016</v>
      </c>
      <c r="C50" s="87">
        <f t="shared" si="0"/>
        <v>4</v>
      </c>
      <c r="D50" s="90">
        <f t="shared" si="1"/>
        <v>9292151.6844597384</v>
      </c>
      <c r="E50" s="88">
        <f t="shared" si="2"/>
        <v>8584511.8316326998</v>
      </c>
      <c r="F50" s="88">
        <f t="shared" si="3"/>
        <v>7644676.1869465793</v>
      </c>
      <c r="G50" s="89"/>
      <c r="H50" s="1"/>
      <c r="I50" s="23"/>
    </row>
    <row r="51" spans="2:9">
      <c r="B51" s="86">
        <f t="shared" si="0"/>
        <v>2017</v>
      </c>
      <c r="C51" s="87">
        <f t="shared" si="0"/>
        <v>5</v>
      </c>
      <c r="D51" s="90">
        <f t="shared" si="1"/>
        <v>9454516.5084597394</v>
      </c>
      <c r="E51" s="88">
        <f t="shared" si="2"/>
        <v>8563246.8937575482</v>
      </c>
      <c r="F51" s="88">
        <f t="shared" si="3"/>
        <v>7407861.0756862164</v>
      </c>
      <c r="G51" s="89"/>
      <c r="H51" s="1"/>
      <c r="I51" s="23"/>
    </row>
    <row r="52" spans="2:9">
      <c r="B52" s="86">
        <f t="shared" si="0"/>
        <v>2018</v>
      </c>
      <c r="C52" s="87">
        <f t="shared" si="0"/>
        <v>6</v>
      </c>
      <c r="D52" s="90">
        <f t="shared" si="1"/>
        <v>9620128.6289397404</v>
      </c>
      <c r="E52" s="88">
        <f t="shared" si="2"/>
        <v>8542398.9154485781</v>
      </c>
      <c r="F52" s="88">
        <f t="shared" si="3"/>
        <v>7178688.1005396415</v>
      </c>
      <c r="G52" s="89"/>
      <c r="H52" s="1"/>
      <c r="I52" s="23"/>
    </row>
    <row r="53" spans="2:9">
      <c r="B53" s="86">
        <f t="shared" si="0"/>
        <v>2019</v>
      </c>
      <c r="C53" s="87">
        <f t="shared" si="0"/>
        <v>7</v>
      </c>
      <c r="D53" s="90">
        <f t="shared" si="1"/>
        <v>9789052.9918293376</v>
      </c>
      <c r="E53" s="88">
        <f t="shared" si="2"/>
        <v>8521959.7210280169</v>
      </c>
      <c r="F53" s="88">
        <f t="shared" si="3"/>
        <v>6956897.2009475166</v>
      </c>
      <c r="G53" s="89"/>
      <c r="H53" s="1"/>
      <c r="I53" s="23"/>
    </row>
    <row r="54" spans="2:9">
      <c r="B54" s="86">
        <f t="shared" si="0"/>
        <v>2020</v>
      </c>
      <c r="C54" s="87">
        <f t="shared" si="0"/>
        <v>8</v>
      </c>
      <c r="D54" s="90">
        <f t="shared" si="1"/>
        <v>9961355.8419767302</v>
      </c>
      <c r="E54" s="88">
        <f t="shared" si="2"/>
        <v>8501921.2951255068</v>
      </c>
      <c r="F54" s="88">
        <f t="shared" si="3"/>
        <v>6742237.7330242619</v>
      </c>
      <c r="G54" s="89"/>
      <c r="H54" s="1"/>
      <c r="I54" s="23"/>
    </row>
    <row r="55" spans="2:9">
      <c r="B55" s="86">
        <f t="shared" si="0"/>
        <v>2021</v>
      </c>
      <c r="C55" s="87">
        <f t="shared" si="0"/>
        <v>9</v>
      </c>
      <c r="D55" s="90">
        <f t="shared" si="1"/>
        <v>10137104.749127071</v>
      </c>
      <c r="E55" s="88">
        <f t="shared" si="2"/>
        <v>8482275.7795348112</v>
      </c>
      <c r="F55" s="88">
        <f t="shared" si="3"/>
        <v>6534468.1059210831</v>
      </c>
      <c r="G55" s="89"/>
      <c r="H55" s="1"/>
      <c r="I55" s="23"/>
    </row>
    <row r="56" spans="2:9">
      <c r="B56" s="86">
        <f t="shared" si="0"/>
        <v>2022</v>
      </c>
      <c r="C56" s="87">
        <f t="shared" si="0"/>
        <v>10</v>
      </c>
      <c r="D56" s="90">
        <f t="shared" si="1"/>
        <v>10316368.634420417</v>
      </c>
      <c r="E56" s="88">
        <f t="shared" si="2"/>
        <v>8463015.4701321665</v>
      </c>
      <c r="F56" s="88">
        <f t="shared" si="3"/>
        <v>6333355.433082873</v>
      </c>
      <c r="G56" s="96"/>
      <c r="H56" s="1"/>
      <c r="I56" s="23"/>
    </row>
    <row r="57" spans="2:9">
      <c r="B57" s="86">
        <f t="shared" si="0"/>
        <v>2023</v>
      </c>
      <c r="C57" s="87">
        <f t="shared" si="0"/>
        <v>11</v>
      </c>
      <c r="D57" s="90">
        <f t="shared" si="1"/>
        <v>10499217.79741963</v>
      </c>
      <c r="E57" s="88">
        <f t="shared" si="2"/>
        <v>8444132.8138550669</v>
      </c>
      <c r="F57" s="88">
        <f t="shared" si="3"/>
        <v>6138675.1977589764</v>
      </c>
      <c r="G57" s="89"/>
      <c r="H57" s="1"/>
      <c r="I57" s="23"/>
    </row>
    <row r="58" spans="2:9">
      <c r="B58" s="86">
        <f t="shared" si="0"/>
        <v>2024</v>
      </c>
      <c r="C58" s="87">
        <f t="shared" si="0"/>
        <v>12</v>
      </c>
      <c r="D58" s="90">
        <f t="shared" si="1"/>
        <v>10685723.94367883</v>
      </c>
      <c r="E58" s="88">
        <f t="shared" si="2"/>
        <v>8425620.4057402611</v>
      </c>
      <c r="F58" s="88">
        <f t="shared" si="3"/>
        <v>5950210.9321562424</v>
      </c>
      <c r="G58" s="89"/>
      <c r="H58" s="1"/>
      <c r="I58" s="23"/>
    </row>
    <row r="59" spans="2:9">
      <c r="B59" s="86">
        <f t="shared" si="0"/>
        <v>2025</v>
      </c>
      <c r="C59" s="87">
        <f t="shared" si="0"/>
        <v>13</v>
      </c>
      <c r="D59" s="90">
        <f t="shared" si="1"/>
        <v>10875960.212863211</v>
      </c>
      <c r="E59" s="88">
        <f t="shared" si="2"/>
        <v>8407470.9860198647</v>
      </c>
      <c r="F59" s="88">
        <f t="shared" si="3"/>
        <v>5767753.9096500995</v>
      </c>
      <c r="G59" s="89"/>
      <c r="H59" s="1"/>
      <c r="I59" s="23"/>
    </row>
    <row r="60" spans="2:9">
      <c r="B60" s="86">
        <f t="shared" si="0"/>
        <v>2026</v>
      </c>
      <c r="C60" s="87">
        <f t="shared" si="0"/>
        <v>14</v>
      </c>
      <c r="D60" s="90">
        <f t="shared" si="1"/>
        <v>11070001.207431279</v>
      </c>
      <c r="E60" s="88">
        <f t="shared" si="2"/>
        <v>8389677.4372743741</v>
      </c>
      <c r="F60" s="88">
        <f t="shared" si="3"/>
        <v>5591102.8494952302</v>
      </c>
      <c r="G60" s="89"/>
      <c r="H60" s="1"/>
      <c r="I60" s="23"/>
    </row>
    <row r="61" spans="2:9">
      <c r="B61" s="86">
        <f t="shared" si="0"/>
        <v>2027</v>
      </c>
      <c r="C61" s="87">
        <f t="shared" si="0"/>
        <v>15</v>
      </c>
      <c r="D61" s="90">
        <f t="shared" si="1"/>
        <v>11267923.021890707</v>
      </c>
      <c r="E61" s="88">
        <f t="shared" si="2"/>
        <v>8372232.7816415438</v>
      </c>
      <c r="F61" s="88">
        <f t="shared" si="3"/>
        <v>5420063.633502299</v>
      </c>
      <c r="G61" s="89"/>
      <c r="H61" s="1"/>
      <c r="I61" s="23"/>
    </row>
    <row r="62" spans="2:9">
      <c r="B62" s="86">
        <f t="shared" si="0"/>
        <v>2028</v>
      </c>
      <c r="C62" s="87">
        <f t="shared" si="0"/>
        <v>16</v>
      </c>
      <c r="D62" s="90">
        <f t="shared" si="1"/>
        <v>11469803.272639329</v>
      </c>
      <c r="E62" s="88">
        <f t="shared" si="2"/>
        <v>8355130.178079945</v>
      </c>
      <c r="F62" s="88">
        <f t="shared" si="3"/>
        <v>5254449.0341707403</v>
      </c>
      <c r="G62" s="89"/>
      <c r="H62" s="1"/>
      <c r="I62" s="23"/>
    </row>
    <row r="63" spans="2:9">
      <c r="B63" s="86">
        <f t="shared" ref="B63:C78" si="4">B62+1</f>
        <v>2029</v>
      </c>
      <c r="C63" s="87">
        <f t="shared" si="4"/>
        <v>17</v>
      </c>
      <c r="D63" s="90">
        <f t="shared" si="1"/>
        <v>11675721.128402922</v>
      </c>
      <c r="E63" s="88">
        <f t="shared" si="2"/>
        <v>8338362.9196862215</v>
      </c>
      <c r="F63" s="88">
        <f t="shared" si="3"/>
        <v>5094078.4537902903</v>
      </c>
      <c r="G63" s="89"/>
      <c r="H63" s="1"/>
      <c r="I63" s="23"/>
    </row>
    <row r="64" spans="2:9">
      <c r="B64" s="86">
        <f t="shared" si="4"/>
        <v>2030</v>
      </c>
      <c r="C64" s="87">
        <f t="shared" si="4"/>
        <v>18</v>
      </c>
      <c r="D64" s="90">
        <f t="shared" si="1"/>
        <v>11885757.341281785</v>
      </c>
      <c r="E64" s="88">
        <f t="shared" si="2"/>
        <v>8321924.4310649233</v>
      </c>
      <c r="F64" s="88">
        <f t="shared" si="3"/>
        <v>4938777.674045397</v>
      </c>
      <c r="G64" s="89"/>
      <c r="H64" s="1"/>
      <c r="I64" s="23"/>
    </row>
    <row r="65" spans="2:9">
      <c r="B65" s="86">
        <f t="shared" si="4"/>
        <v>2031</v>
      </c>
      <c r="C65" s="87">
        <f t="shared" si="4"/>
        <v>19</v>
      </c>
      <c r="D65" s="90">
        <f t="shared" si="1"/>
        <v>12099994.278418224</v>
      </c>
      <c r="E65" s="88">
        <f t="shared" si="2"/>
        <v>8305808.2657499239</v>
      </c>
      <c r="F65" s="88">
        <f t="shared" si="3"/>
        <v>4788378.6156772701</v>
      </c>
      <c r="G65" s="89"/>
      <c r="H65" s="1"/>
      <c r="I65" s="23"/>
    </row>
    <row r="66" spans="2:9">
      <c r="B66" s="86">
        <f t="shared" si="4"/>
        <v>2032</v>
      </c>
      <c r="C66" s="87">
        <f t="shared" si="4"/>
        <v>20</v>
      </c>
      <c r="D66" s="90">
        <f t="shared" si="1"/>
        <v>12318515.954297395</v>
      </c>
      <c r="E66" s="88">
        <f t="shared" si="2"/>
        <v>8290008.1036763964</v>
      </c>
      <c r="F66" s="88">
        <f t="shared" si="3"/>
        <v>4642719.1077779457</v>
      </c>
      <c r="G66" s="89"/>
      <c r="H66" s="1"/>
      <c r="I66" s="23"/>
    </row>
    <row r="67" spans="2:9">
      <c r="B67" s="86">
        <f t="shared" si="4"/>
        <v>2033</v>
      </c>
      <c r="C67" s="87">
        <f t="shared" si="4"/>
        <v>21</v>
      </c>
      <c r="D67" s="90">
        <f t="shared" si="1"/>
        <v>12541408.063694149</v>
      </c>
      <c r="E67" s="88">
        <f t="shared" si="2"/>
        <v>8274517.7487023501</v>
      </c>
      <c r="F67" s="88">
        <f t="shared" si="3"/>
        <v>4501642.6663094861</v>
      </c>
      <c r="G67" s="89"/>
      <c r="H67" s="1"/>
      <c r="I67" s="23"/>
    </row>
    <row r="68" spans="2:9">
      <c r="B68" s="86">
        <f t="shared" si="4"/>
        <v>2034</v>
      </c>
      <c r="C68" s="87">
        <f t="shared" si="4"/>
        <v>22</v>
      </c>
      <c r="D68" s="90">
        <f t="shared" si="1"/>
        <v>12768758.015278837</v>
      </c>
      <c r="E68" s="88">
        <f t="shared" si="2"/>
        <v>8259331.1261787741</v>
      </c>
      <c r="F68" s="88">
        <f t="shared" si="3"/>
        <v>4364998.2814593334</v>
      </c>
      <c r="G68" s="89"/>
      <c r="H68" s="1"/>
      <c r="I68" s="23"/>
    </row>
    <row r="69" spans="2:9">
      <c r="B69" s="86">
        <f t="shared" si="4"/>
        <v>2035</v>
      </c>
      <c r="C69" s="87">
        <f t="shared" si="4"/>
        <v>23</v>
      </c>
      <c r="D69" s="90">
        <f t="shared" si="1"/>
        <v>13000654.965895217</v>
      </c>
      <c r="E69" s="88">
        <f t="shared" si="2"/>
        <v>8244442.2805674253</v>
      </c>
      <c r="F69" s="88">
        <f t="shared" si="3"/>
        <v>4232640.2134599267</v>
      </c>
      <c r="G69" s="89"/>
      <c r="H69" s="1"/>
      <c r="I69" s="23"/>
    </row>
    <row r="70" spans="2:9">
      <c r="B70" s="86">
        <f t="shared" si="4"/>
        <v>2036</v>
      </c>
      <c r="C70" s="87">
        <f t="shared" si="4"/>
        <v>24</v>
      </c>
      <c r="D70" s="90">
        <f t="shared" si="1"/>
        <v>13237189.855523927</v>
      </c>
      <c r="E70" s="88">
        <f t="shared" si="2"/>
        <v>8229845.3731053192</v>
      </c>
      <c r="F70" s="88">
        <f t="shared" si="3"/>
        <v>4104427.7965169931</v>
      </c>
      <c r="G70" s="89"/>
      <c r="H70" s="1"/>
      <c r="I70" s="23"/>
    </row>
    <row r="71" spans="2:9">
      <c r="B71" s="86">
        <f t="shared" si="4"/>
        <v>2037</v>
      </c>
      <c r="C71" s="87">
        <f t="shared" si="4"/>
        <v>25</v>
      </c>
      <c r="D71" s="90">
        <f t="shared" si="1"/>
        <v>13478455.44294521</v>
      </c>
      <c r="E71" s="88">
        <f t="shared" si="2"/>
        <v>8215534.6795150191</v>
      </c>
      <c r="F71" s="88">
        <f t="shared" si="3"/>
        <v>3980225.2505065012</v>
      </c>
      <c r="G71" s="89"/>
      <c r="H71" s="1"/>
      <c r="I71" s="23"/>
    </row>
    <row r="72" spans="2:9">
      <c r="B72" s="86">
        <f t="shared" si="4"/>
        <v>2038</v>
      </c>
      <c r="C72" s="87">
        <f t="shared" si="4"/>
        <v>26</v>
      </c>
      <c r="D72" s="90">
        <f t="shared" si="1"/>
        <v>13724546.342114922</v>
      </c>
      <c r="E72" s="88">
        <f t="shared" si="2"/>
        <v>8201504.5877598226</v>
      </c>
      <c r="F72" s="88">
        <f t="shared" si="3"/>
        <v>3859901.5001151529</v>
      </c>
      <c r="G72" s="89"/>
      <c r="H72" s="1"/>
      <c r="I72" s="23"/>
    </row>
    <row r="73" spans="2:9">
      <c r="B73" s="86">
        <f t="shared" si="4"/>
        <v>2039</v>
      </c>
      <c r="C73" s="87">
        <f t="shared" si="4"/>
        <v>27</v>
      </c>
      <c r="D73" s="90">
        <f t="shared" si="1"/>
        <v>13975559.059268024</v>
      </c>
      <c r="E73" s="88">
        <f t="shared" si="2"/>
        <v>8187749.595842964</v>
      </c>
      <c r="F73" s="88">
        <f t="shared" si="3"/>
        <v>3743330.0011134772</v>
      </c>
      <c r="G73" s="89"/>
      <c r="H73" s="1"/>
      <c r="I73" s="23"/>
    </row>
    <row r="74" spans="2:9">
      <c r="B74" s="86">
        <f t="shared" si="4"/>
        <v>2040</v>
      </c>
      <c r="C74" s="87">
        <f t="shared" si="4"/>
        <v>28</v>
      </c>
      <c r="D74" s="90">
        <f t="shared" si="1"/>
        <v>14231592.030764192</v>
      </c>
      <c r="E74" s="88">
        <f t="shared" si="2"/>
        <v>8174264.3096499648</v>
      </c>
      <c r="F74" s="88">
        <f t="shared" si="3"/>
        <v>3630388.5734641529</v>
      </c>
      <c r="G74" s="89"/>
      <c r="H74" s="1"/>
      <c r="I74" s="23"/>
    </row>
    <row r="75" spans="2:9">
      <c r="B75" s="86">
        <f t="shared" si="4"/>
        <v>2041</v>
      </c>
      <c r="C75" s="87">
        <f t="shared" si="4"/>
        <v>29</v>
      </c>
      <c r="D75" s="90">
        <f t="shared" si="1"/>
        <v>14492745.661690278</v>
      </c>
      <c r="E75" s="88">
        <f t="shared" si="2"/>
        <v>8161043.4408332976</v>
      </c>
      <c r="F75" s="88">
        <f t="shared" si="3"/>
        <v>3520959.2409811527</v>
      </c>
      <c r="G75" s="89"/>
      <c r="H75" s="1"/>
      <c r="I75" s="23"/>
    </row>
    <row r="76" spans="2:9">
      <c r="B76" s="86">
        <f t="shared" si="4"/>
        <v>2042</v>
      </c>
      <c r="C76" s="87">
        <f t="shared" si="4"/>
        <v>30</v>
      </c>
      <c r="D76" s="90">
        <f t="shared" si="1"/>
        <v>14759122.365234889</v>
      </c>
      <c r="E76" s="88">
        <f t="shared" si="2"/>
        <v>8148081.8047385272</v>
      </c>
      <c r="F76" s="88">
        <f t="shared" si="3"/>
        <v>3414928.0772676547</v>
      </c>
      <c r="G76" s="89"/>
      <c r="H76" s="1"/>
      <c r="I76" s="23"/>
    </row>
    <row r="77" spans="2:9">
      <c r="B77" s="86">
        <f t="shared" si="4"/>
        <v>2043</v>
      </c>
      <c r="C77" s="87">
        <f t="shared" si="4"/>
        <v>31</v>
      </c>
      <c r="D77" s="90">
        <f t="shared" si="1"/>
        <v>15030826.602850389</v>
      </c>
      <c r="E77" s="88">
        <f t="shared" si="2"/>
        <v>8135374.318371105</v>
      </c>
      <c r="F77" s="88">
        <f t="shared" si="3"/>
        <v>3312185.0576724904</v>
      </c>
      <c r="G77" s="89"/>
      <c r="H77" s="1"/>
      <c r="I77" s="23"/>
    </row>
    <row r="78" spans="2:9">
      <c r="B78" s="86">
        <f t="shared" si="4"/>
        <v>2044</v>
      </c>
      <c r="C78" s="87">
        <f t="shared" si="4"/>
        <v>32</v>
      </c>
      <c r="D78" s="90">
        <f t="shared" si="1"/>
        <v>15307964.925218206</v>
      </c>
      <c r="E78" s="88">
        <f t="shared" si="2"/>
        <v>8122915.9984030444</v>
      </c>
      <c r="F78" s="88">
        <f t="shared" si="3"/>
        <v>3212623.9170161849</v>
      </c>
      <c r="G78" s="89"/>
      <c r="H78" s="1"/>
      <c r="I78" s="23"/>
    </row>
    <row r="79" spans="2:9">
      <c r="B79" s="86">
        <f t="shared" ref="B79:C86" si="5">B78+1</f>
        <v>2045</v>
      </c>
      <c r="C79" s="87">
        <f t="shared" si="5"/>
        <v>33</v>
      </c>
      <c r="D79" s="90">
        <f t="shared" si="1"/>
        <v>15590646.014033377</v>
      </c>
      <c r="E79" s="88">
        <f t="shared" si="2"/>
        <v>8110701.9592186715</v>
      </c>
      <c r="F79" s="88">
        <f t="shared" si="3"/>
        <v>3116142.0128484243</v>
      </c>
      <c r="G79" s="89"/>
      <c r="H79" s="1"/>
      <c r="I79" s="23"/>
    </row>
    <row r="80" spans="2:9">
      <c r="B80" s="86">
        <f t="shared" si="5"/>
        <v>2046</v>
      </c>
      <c r="C80" s="87">
        <f t="shared" si="5"/>
        <v>34</v>
      </c>
      <c r="D80" s="90">
        <f t="shared" si="1"/>
        <v>15878980.724624848</v>
      </c>
      <c r="E80" s="88">
        <f t="shared" si="2"/>
        <v>8098727.4109986974</v>
      </c>
      <c r="F80" s="88">
        <f t="shared" si="3"/>
        <v>3022640.1940090698</v>
      </c>
      <c r="G80" s="89"/>
      <c r="H80" s="1"/>
      <c r="I80" s="23"/>
    </row>
    <row r="81" spans="2:9">
      <c r="B81" s="86">
        <f t="shared" si="5"/>
        <v>2047</v>
      </c>
      <c r="C81" s="87">
        <f t="shared" si="5"/>
        <v>35</v>
      </c>
      <c r="D81" s="90">
        <f t="shared" si="1"/>
        <v>16173082.129428148</v>
      </c>
      <c r="E81" s="88">
        <f t="shared" si="2"/>
        <v>8086987.6578418594</v>
      </c>
      <c r="F81" s="88">
        <f t="shared" si="3"/>
        <v>2932022.6742746886</v>
      </c>
      <c r="G81" s="89"/>
      <c r="H81" s="1"/>
      <c r="I81" s="23"/>
    </row>
    <row r="82" spans="2:9">
      <c r="B82" s="86">
        <f t="shared" si="5"/>
        <v>2048</v>
      </c>
      <c r="C82" s="87">
        <f t="shared" si="5"/>
        <v>36</v>
      </c>
      <c r="D82" s="90">
        <f t="shared" si="1"/>
        <v>16473065.562327517</v>
      </c>
      <c r="E82" s="88">
        <f t="shared" si="2"/>
        <v>8075478.0959233921</v>
      </c>
      <c r="F82" s="88">
        <f t="shared" si="3"/>
        <v>2844196.9108819622</v>
      </c>
      <c r="G82" s="89"/>
      <c r="H82" s="1"/>
      <c r="I82" s="23"/>
    </row>
    <row r="83" spans="2:9">
      <c r="B83" s="86">
        <f t="shared" si="5"/>
        <v>2049</v>
      </c>
      <c r="C83" s="87">
        <f t="shared" si="5"/>
        <v>37</v>
      </c>
      <c r="D83" s="90">
        <f t="shared" si="1"/>
        <v>16779048.663884874</v>
      </c>
      <c r="E83" s="88">
        <f t="shared" si="2"/>
        <v>8064194.2116895998</v>
      </c>
      <c r="F83" s="88">
        <f t="shared" si="3"/>
        <v>2759073.487728308</v>
      </c>
      <c r="G83" s="89"/>
      <c r="H83" s="1"/>
      <c r="I83" s="23"/>
    </row>
    <row r="84" spans="2:9">
      <c r="B84" s="86">
        <f t="shared" si="5"/>
        <v>2050</v>
      </c>
      <c r="C84" s="87">
        <f t="shared" si="5"/>
        <v>38</v>
      </c>
      <c r="D84" s="90">
        <f t="shared" si="1"/>
        <v>17091151.427473377</v>
      </c>
      <c r="E84" s="88">
        <f t="shared" si="2"/>
        <v>8053131.5800878424</v>
      </c>
      <c r="F84" s="88">
        <f t="shared" si="3"/>
        <v>2676566.00305863</v>
      </c>
      <c r="G84" s="89"/>
      <c r="H84" s="1"/>
      <c r="I84" s="23"/>
    </row>
    <row r="85" spans="2:9">
      <c r="B85" s="86">
        <f t="shared" si="5"/>
        <v>2051</v>
      </c>
      <c r="C85" s="87">
        <f t="shared" si="5"/>
        <v>39</v>
      </c>
      <c r="D85" s="90">
        <f t="shared" si="1"/>
        <v>17409496.246333644</v>
      </c>
      <c r="E85" s="88">
        <f t="shared" si="2"/>
        <v>8042285.8628312182</v>
      </c>
      <c r="F85" s="88">
        <f t="shared" si="3"/>
        <v>2596590.9614553107</v>
      </c>
      <c r="G85" s="89"/>
      <c r="H85" s="1"/>
      <c r="I85" s="23"/>
    </row>
    <row r="86" spans="2:9" ht="15.75" thickBot="1">
      <c r="B86" s="51">
        <f t="shared" si="5"/>
        <v>2052</v>
      </c>
      <c r="C86" s="92">
        <f t="shared" si="5"/>
        <v>40</v>
      </c>
      <c r="D86" s="93">
        <f t="shared" si="1"/>
        <v>17734207.961571127</v>
      </c>
      <c r="E86" s="94">
        <f t="shared" si="2"/>
        <v>8031652.8066972727</v>
      </c>
      <c r="F86" s="94">
        <f t="shared" si="3"/>
        <v>2519067.6699563824</v>
      </c>
      <c r="G86" s="97"/>
      <c r="H86" s="1"/>
      <c r="I86" s="23"/>
    </row>
    <row r="87" spans="2:9">
      <c r="B87" s="34"/>
      <c r="C87" s="34"/>
      <c r="D87" s="35"/>
      <c r="E87" s="36"/>
      <c r="F87" s="36"/>
      <c r="G87" s="30"/>
      <c r="H87" s="30"/>
    </row>
  </sheetData>
  <sheetProtection password="C907" sheet="1" objects="1" scenarios="1"/>
  <mergeCells count="18">
    <mergeCell ref="E39:H39"/>
    <mergeCell ref="B42:G42"/>
    <mergeCell ref="E7:H7"/>
    <mergeCell ref="E15:H15"/>
    <mergeCell ref="E37:H37"/>
    <mergeCell ref="E33:H33"/>
    <mergeCell ref="E28:H28"/>
    <mergeCell ref="E29:H29"/>
    <mergeCell ref="E30:H30"/>
    <mergeCell ref="E31:H31"/>
    <mergeCell ref="E35:H35"/>
    <mergeCell ref="E23:H23"/>
    <mergeCell ref="E26:H26"/>
    <mergeCell ref="E24:H24"/>
    <mergeCell ref="E8:H14"/>
    <mergeCell ref="A3:F5"/>
    <mergeCell ref="E27:H27"/>
    <mergeCell ref="E38:H38"/>
  </mergeCells>
  <pageMargins left="0.70866141732283472" right="0.70866141732283472" top="0.74803149606299213" bottom="0.74803149606299213" header="0.31496062992125984" footer="0.31496062992125984"/>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 Information</vt:lpstr>
      <vt:lpstr>Total Results</vt:lpstr>
      <vt:lpstr>A-Capital</vt:lpstr>
      <vt:lpstr>B-Overhead</vt:lpstr>
      <vt:lpstr>C-Operational</vt:lpstr>
      <vt:lpstr>Neutron Utilisation-C</vt:lpstr>
      <vt:lpstr>D-Decommissioning</vt:lpstr>
      <vt:lpstr>E-99Mo Specific</vt:lpstr>
    </vt:vector>
  </TitlesOfParts>
  <Company>OECD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Westmacott_C</dc:creator>
  <cp:lastModifiedBy>Westmacott_C</cp:lastModifiedBy>
  <cp:lastPrinted>2011-11-04T15:42:25Z</cp:lastPrinted>
  <dcterms:created xsi:type="dcterms:W3CDTF">2011-09-28T09:14:14Z</dcterms:created>
  <dcterms:modified xsi:type="dcterms:W3CDTF">2012-02-24T10:30:32Z</dcterms:modified>
</cp:coreProperties>
</file>